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북부노인복지관\북부노인2021\21년도 예산서\"/>
    </mc:Choice>
  </mc:AlternateContent>
  <xr:revisionPtr revIDLastSave="0" documentId="13_ncr:1_{81D2E04C-21A4-4175-B6D3-A96A2AFE4848}" xr6:coauthVersionLast="45" xr6:coauthVersionMax="45" xr10:uidLastSave="{00000000-0000-0000-0000-000000000000}"/>
  <bookViews>
    <workbookView xWindow="-120" yWindow="-120" windowWidth="29040" windowHeight="15840" tabRatio="903" xr2:uid="{00000000-000D-0000-FFFF-FFFF00000000}"/>
  </bookViews>
  <sheets>
    <sheet name="표지" sheetId="7" r:id="rId1"/>
    <sheet name="세입세출명세서" sheetId="172" r:id="rId2"/>
    <sheet name="세입명세서" sheetId="173" r:id="rId3"/>
    <sheet name="세출명세서" sheetId="174" r:id="rId4"/>
  </sheets>
  <definedNames>
    <definedName name="_xlnm.Print_Area" localSheetId="2">세입명세서!$A$1:$U$62</definedName>
    <definedName name="_xlnm.Print_Titles" localSheetId="2">세입명세서!$1:$3</definedName>
    <definedName name="_xlnm.Print_Titles" localSheetId="1">세입세출명세서!$3:$4</definedName>
    <definedName name="_xlnm.Print_Titles" localSheetId="3">세출명세서!$1:$3</definedName>
  </definedNames>
  <calcPr calcId="181029"/>
</workbook>
</file>

<file path=xl/calcChain.xml><?xml version="1.0" encoding="utf-8"?>
<calcChain xmlns="http://schemas.openxmlformats.org/spreadsheetml/2006/main">
  <c r="V214" i="174" l="1"/>
  <c r="V94" i="174"/>
  <c r="V182" i="174"/>
  <c r="V181" i="174"/>
  <c r="AE55" i="172" l="1"/>
  <c r="AH52" i="172"/>
  <c r="V267" i="174"/>
  <c r="V266" i="174"/>
  <c r="Q262" i="174" s="1"/>
  <c r="V265" i="174"/>
  <c r="V264" i="174"/>
  <c r="V263" i="174"/>
  <c r="V262" i="174"/>
  <c r="U21" i="173"/>
  <c r="Q21" i="173" s="1"/>
  <c r="R21" i="173" s="1"/>
  <c r="R262" i="174" l="1"/>
  <c r="AI52" i="172"/>
  <c r="AJ52" i="172" s="1"/>
  <c r="Q18" i="172"/>
  <c r="R18" i="172" s="1"/>
  <c r="U57" i="173"/>
  <c r="Q57" i="173" s="1"/>
  <c r="R57" i="173" s="1"/>
  <c r="V276" i="174"/>
  <c r="Q276" i="174" s="1"/>
  <c r="AI58" i="172" s="1"/>
  <c r="T62" i="173"/>
  <c r="T61" i="173"/>
  <c r="V253" i="174"/>
  <c r="V252" i="174"/>
  <c r="V251" i="174"/>
  <c r="V250" i="174"/>
  <c r="V249" i="174"/>
  <c r="V248" i="174"/>
  <c r="V247" i="174"/>
  <c r="V246" i="174"/>
  <c r="V245" i="174"/>
  <c r="V244" i="174"/>
  <c r="V243" i="174"/>
  <c r="V242" i="174"/>
  <c r="V241" i="174"/>
  <c r="V240" i="174"/>
  <c r="V239" i="174"/>
  <c r="V238" i="174"/>
  <c r="V237" i="174"/>
  <c r="V236" i="174"/>
  <c r="V235" i="174"/>
  <c r="V234" i="174"/>
  <c r="V233" i="174"/>
  <c r="U47" i="173"/>
  <c r="U35" i="173"/>
  <c r="Q35" i="173" s="1"/>
  <c r="Q28" i="172" s="1"/>
  <c r="U26" i="173"/>
  <c r="Q26" i="173" s="1"/>
  <c r="Q23" i="172" s="1"/>
  <c r="U27" i="173"/>
  <c r="Q27" i="173" s="1"/>
  <c r="R27" i="173" s="1"/>
  <c r="U28" i="173"/>
  <c r="U25" i="173"/>
  <c r="Q25" i="173" s="1"/>
  <c r="R25" i="173" s="1"/>
  <c r="U24" i="173"/>
  <c r="Q24" i="173" s="1"/>
  <c r="R24" i="173" s="1"/>
  <c r="V259" i="174"/>
  <c r="V258" i="174"/>
  <c r="V257" i="174"/>
  <c r="V255" i="174"/>
  <c r="V256" i="174"/>
  <c r="U20" i="173"/>
  <c r="Q20" i="173" s="1"/>
  <c r="R20" i="173" s="1"/>
  <c r="U19" i="173"/>
  <c r="Q19" i="173" s="1"/>
  <c r="R19" i="173" s="1"/>
  <c r="V230" i="174"/>
  <c r="V229" i="174"/>
  <c r="V228" i="174"/>
  <c r="V225" i="174"/>
  <c r="V224" i="174"/>
  <c r="V223" i="174"/>
  <c r="V222" i="174"/>
  <c r="V221" i="174"/>
  <c r="U18" i="173"/>
  <c r="Q18" i="173" s="1"/>
  <c r="R18" i="173" s="1"/>
  <c r="V218" i="174"/>
  <c r="V219" i="174"/>
  <c r="V217" i="174"/>
  <c r="U17" i="173"/>
  <c r="Q17" i="173" s="1"/>
  <c r="R17" i="173" s="1"/>
  <c r="V158" i="174"/>
  <c r="V216" i="174"/>
  <c r="V215" i="174"/>
  <c r="T16" i="173"/>
  <c r="U16" i="173" s="1"/>
  <c r="Q16" i="173" s="1"/>
  <c r="Q13" i="172" s="1"/>
  <c r="V157" i="174"/>
  <c r="U14" i="173"/>
  <c r="Q14" i="173" s="1"/>
  <c r="R14" i="173" s="1"/>
  <c r="U13" i="173"/>
  <c r="Q13" i="173" s="1"/>
  <c r="R13" i="173" s="1"/>
  <c r="V172" i="174"/>
  <c r="V171" i="174"/>
  <c r="T12" i="173"/>
  <c r="U12" i="173" s="1"/>
  <c r="Q12" i="173" s="1"/>
  <c r="R12" i="173" s="1"/>
  <c r="V193" i="174"/>
  <c r="V192" i="174"/>
  <c r="U11" i="173"/>
  <c r="Q214" i="174"/>
  <c r="R214" i="174" s="1"/>
  <c r="V213" i="174"/>
  <c r="V212" i="174"/>
  <c r="V211" i="174"/>
  <c r="V210" i="174"/>
  <c r="V209" i="174"/>
  <c r="V207" i="174"/>
  <c r="V206" i="174"/>
  <c r="V205" i="174"/>
  <c r="V204" i="174"/>
  <c r="V203" i="174"/>
  <c r="V202" i="174"/>
  <c r="V201" i="174"/>
  <c r="V200" i="174"/>
  <c r="V199" i="174"/>
  <c r="V198" i="174"/>
  <c r="V197" i="174"/>
  <c r="V195" i="174"/>
  <c r="V194" i="174"/>
  <c r="V180" i="174"/>
  <c r="V179" i="174"/>
  <c r="V178" i="174"/>
  <c r="V177" i="174"/>
  <c r="V176" i="174"/>
  <c r="V175" i="174"/>
  <c r="V173" i="174"/>
  <c r="Q173" i="174" s="1"/>
  <c r="V170" i="174"/>
  <c r="V168" i="174"/>
  <c r="V167" i="174"/>
  <c r="V165" i="174"/>
  <c r="V164" i="174"/>
  <c r="V163" i="174"/>
  <c r="V162" i="174"/>
  <c r="V161" i="174"/>
  <c r="V160" i="174"/>
  <c r="V159" i="174"/>
  <c r="V153" i="174"/>
  <c r="V152" i="174"/>
  <c r="V151" i="174"/>
  <c r="V150" i="174"/>
  <c r="V149" i="174"/>
  <c r="V148" i="174"/>
  <c r="V147" i="174"/>
  <c r="V146" i="174"/>
  <c r="V145" i="174"/>
  <c r="V144" i="174"/>
  <c r="V143" i="174"/>
  <c r="V142" i="174"/>
  <c r="V141" i="174"/>
  <c r="V140" i="174"/>
  <c r="V139" i="174"/>
  <c r="V138" i="174"/>
  <c r="V137" i="174"/>
  <c r="V136" i="174"/>
  <c r="V135" i="174"/>
  <c r="V134" i="174"/>
  <c r="V133" i="174"/>
  <c r="V132" i="174"/>
  <c r="V131" i="174"/>
  <c r="V130" i="174"/>
  <c r="V129" i="174"/>
  <c r="V128" i="174"/>
  <c r="V127" i="174"/>
  <c r="V126" i="174"/>
  <c r="V124" i="174"/>
  <c r="V123" i="174"/>
  <c r="V122" i="174"/>
  <c r="V121" i="174"/>
  <c r="V119" i="174"/>
  <c r="V116" i="174"/>
  <c r="V115" i="174"/>
  <c r="V114" i="174"/>
  <c r="V113" i="174"/>
  <c r="V112" i="174"/>
  <c r="V111" i="174"/>
  <c r="V110" i="174"/>
  <c r="V109" i="174"/>
  <c r="V106" i="174"/>
  <c r="Q106" i="174" s="1"/>
  <c r="R106" i="174" s="1"/>
  <c r="V105" i="174"/>
  <c r="V104" i="174"/>
  <c r="V103" i="174"/>
  <c r="V102" i="174"/>
  <c r="V101" i="174"/>
  <c r="V100" i="174"/>
  <c r="V99" i="174"/>
  <c r="V98" i="174"/>
  <c r="V97" i="174"/>
  <c r="V96" i="174"/>
  <c r="V95" i="174"/>
  <c r="V93" i="174"/>
  <c r="V92" i="174"/>
  <c r="V91" i="174"/>
  <c r="V90" i="174"/>
  <c r="V87" i="174"/>
  <c r="V86" i="174"/>
  <c r="V85" i="174"/>
  <c r="V84" i="174"/>
  <c r="V83" i="174"/>
  <c r="V82" i="174"/>
  <c r="V81" i="174"/>
  <c r="V80" i="174"/>
  <c r="V79" i="174"/>
  <c r="V78" i="174"/>
  <c r="V77" i="174"/>
  <c r="V76" i="174"/>
  <c r="V75" i="174"/>
  <c r="V74" i="174"/>
  <c r="V73" i="174"/>
  <c r="V72" i="174"/>
  <c r="V71" i="174"/>
  <c r="V70" i="174"/>
  <c r="V69" i="174"/>
  <c r="V68" i="174"/>
  <c r="V67" i="174"/>
  <c r="V66" i="174"/>
  <c r="V65" i="174"/>
  <c r="V64" i="174"/>
  <c r="V63" i="174"/>
  <c r="V62" i="174"/>
  <c r="V61" i="174"/>
  <c r="V60" i="174"/>
  <c r="V59" i="174"/>
  <c r="V58" i="174"/>
  <c r="V57" i="174"/>
  <c r="V56" i="174"/>
  <c r="V55" i="174"/>
  <c r="Q55" i="174" s="1"/>
  <c r="V53" i="174"/>
  <c r="V52" i="174"/>
  <c r="V51" i="174"/>
  <c r="V50" i="174"/>
  <c r="V48" i="174"/>
  <c r="V47" i="174"/>
  <c r="V46" i="174"/>
  <c r="V45" i="174"/>
  <c r="V44" i="174"/>
  <c r="Q44" i="174" s="1"/>
  <c r="R44" i="174" s="1"/>
  <c r="V42" i="174"/>
  <c r="V41" i="174"/>
  <c r="V40" i="174"/>
  <c r="V39" i="174"/>
  <c r="V38" i="174"/>
  <c r="V37" i="174"/>
  <c r="V36" i="174"/>
  <c r="V35" i="174"/>
  <c r="V34" i="174"/>
  <c r="V33" i="174"/>
  <c r="V32" i="174"/>
  <c r="V31" i="174"/>
  <c r="V30" i="174"/>
  <c r="V29" i="174"/>
  <c r="V28" i="174"/>
  <c r="V27" i="174"/>
  <c r="V26" i="174"/>
  <c r="V25" i="174"/>
  <c r="V24" i="174"/>
  <c r="V23" i="174"/>
  <c r="V22" i="174"/>
  <c r="V21" i="174"/>
  <c r="V20" i="174"/>
  <c r="V19" i="174"/>
  <c r="V18" i="174"/>
  <c r="V17" i="174"/>
  <c r="V16" i="174"/>
  <c r="V15" i="174"/>
  <c r="V14" i="174"/>
  <c r="V13" i="174"/>
  <c r="V12" i="174"/>
  <c r="V11" i="174"/>
  <c r="V10" i="174"/>
  <c r="V9" i="174"/>
  <c r="V8" i="174"/>
  <c r="V7" i="174"/>
  <c r="U42" i="173"/>
  <c r="Q42" i="173" s="1"/>
  <c r="R42" i="173" s="1"/>
  <c r="U58" i="173"/>
  <c r="U54" i="173"/>
  <c r="Q54" i="173" s="1"/>
  <c r="R54" i="173" s="1"/>
  <c r="U45" i="173"/>
  <c r="Q45" i="173" s="1"/>
  <c r="Q33" i="172" s="1"/>
  <c r="U39" i="173"/>
  <c r="Q39" i="173" s="1"/>
  <c r="Q38" i="173" s="1"/>
  <c r="U31" i="173"/>
  <c r="Q31" i="173" s="1"/>
  <c r="R31" i="173" s="1"/>
  <c r="U9" i="173"/>
  <c r="Q9" i="173" s="1"/>
  <c r="AH65" i="172"/>
  <c r="AH64" i="172"/>
  <c r="AH61" i="172"/>
  <c r="AH60" i="172" s="1"/>
  <c r="AH59" i="172" s="1"/>
  <c r="AH58" i="172"/>
  <c r="AH57" i="172"/>
  <c r="AH56" i="172"/>
  <c r="AH55" i="172"/>
  <c r="AH54" i="172"/>
  <c r="AH53" i="172"/>
  <c r="AH51" i="172"/>
  <c r="AH50" i="172"/>
  <c r="AH49" i="172"/>
  <c r="AH48" i="172"/>
  <c r="AH47" i="172"/>
  <c r="AH46" i="172"/>
  <c r="AH45" i="172"/>
  <c r="AH44" i="172"/>
  <c r="AH43" i="172"/>
  <c r="AH42" i="172"/>
  <c r="AH41" i="172"/>
  <c r="AH40" i="172"/>
  <c r="AH39" i="172"/>
  <c r="AH38" i="172"/>
  <c r="AH37" i="172"/>
  <c r="AH36" i="172"/>
  <c r="AH35" i="172"/>
  <c r="AH34" i="172"/>
  <c r="AH33" i="172"/>
  <c r="AH32" i="172"/>
  <c r="AH31" i="172"/>
  <c r="AH28" i="172"/>
  <c r="AH27" i="172"/>
  <c r="AH26" i="172"/>
  <c r="AH23" i="172"/>
  <c r="AH22" i="172"/>
  <c r="AH21" i="172"/>
  <c r="AH20" i="172"/>
  <c r="AH19" i="172"/>
  <c r="AH18" i="172"/>
  <c r="AH16" i="172"/>
  <c r="AH15" i="172"/>
  <c r="AH14" i="172"/>
  <c r="AH12" i="172"/>
  <c r="AH11" i="172"/>
  <c r="AH10" i="172"/>
  <c r="AH9" i="172"/>
  <c r="AH8" i="172"/>
  <c r="P281" i="174"/>
  <c r="P280" i="174" s="1"/>
  <c r="P278" i="174"/>
  <c r="P277" i="174" s="1"/>
  <c r="P119" i="174"/>
  <c r="P118" i="174" s="1"/>
  <c r="P108" i="174"/>
  <c r="P107" i="174" s="1"/>
  <c r="P54" i="174"/>
  <c r="P43" i="174"/>
  <c r="P6" i="174"/>
  <c r="P41" i="172"/>
  <c r="P40" i="172"/>
  <c r="P38" i="172"/>
  <c r="P37" i="172"/>
  <c r="P35" i="172"/>
  <c r="P34" i="172"/>
  <c r="P33" i="172"/>
  <c r="P32" i="172"/>
  <c r="P28" i="172"/>
  <c r="P27" i="172"/>
  <c r="P25" i="172"/>
  <c r="P24" i="172"/>
  <c r="P23" i="172"/>
  <c r="P22" i="172"/>
  <c r="P21" i="172"/>
  <c r="P19" i="172"/>
  <c r="P17" i="172"/>
  <c r="P16" i="172"/>
  <c r="P15" i="172"/>
  <c r="P14" i="172"/>
  <c r="P13" i="172"/>
  <c r="P12" i="172"/>
  <c r="P11" i="172"/>
  <c r="P10" i="172"/>
  <c r="P9" i="172"/>
  <c r="P8" i="172"/>
  <c r="P7" i="172"/>
  <c r="P56" i="173"/>
  <c r="P55" i="173" s="1"/>
  <c r="P52" i="173"/>
  <c r="P51" i="173" s="1"/>
  <c r="P41" i="173"/>
  <c r="P40" i="173" s="1"/>
  <c r="P38" i="173"/>
  <c r="P37" i="173" s="1"/>
  <c r="P30" i="172" s="1"/>
  <c r="P29" i="172" s="1"/>
  <c r="P30" i="173"/>
  <c r="P29" i="173" s="1"/>
  <c r="P23" i="173"/>
  <c r="P7" i="173"/>
  <c r="Q283" i="174"/>
  <c r="Q282" i="174"/>
  <c r="R282" i="174" s="1"/>
  <c r="O281" i="174"/>
  <c r="O280" i="174" s="1"/>
  <c r="M281" i="174"/>
  <c r="M280" i="174" s="1"/>
  <c r="AE64" i="172" s="1"/>
  <c r="L281" i="174"/>
  <c r="L280" i="174" s="1"/>
  <c r="AD64" i="172" s="1"/>
  <c r="K281" i="174"/>
  <c r="K280" i="174" s="1"/>
  <c r="J281" i="174"/>
  <c r="J280" i="174" s="1"/>
  <c r="I281" i="174"/>
  <c r="I280" i="174" s="1"/>
  <c r="H281" i="174"/>
  <c r="H280" i="174" s="1"/>
  <c r="G281" i="174"/>
  <c r="G280" i="174" s="1"/>
  <c r="F281" i="174"/>
  <c r="F280" i="174" s="1"/>
  <c r="X64" i="172" s="1"/>
  <c r="X63" i="172" s="1"/>
  <c r="X62" i="172" s="1"/>
  <c r="E281" i="174"/>
  <c r="E280" i="174" s="1"/>
  <c r="W64" i="172" s="1"/>
  <c r="W63" i="172" s="1"/>
  <c r="W62" i="172" s="1"/>
  <c r="D281" i="174"/>
  <c r="D280" i="174" s="1"/>
  <c r="N280" i="174"/>
  <c r="Q279" i="174"/>
  <c r="R279" i="174" s="1"/>
  <c r="O278" i="174"/>
  <c r="O277" i="174" s="1"/>
  <c r="M278" i="174"/>
  <c r="M277" i="174" s="1"/>
  <c r="L278" i="174"/>
  <c r="L277" i="174" s="1"/>
  <c r="K278" i="174"/>
  <c r="K277" i="174" s="1"/>
  <c r="J278" i="174"/>
  <c r="J277" i="174" s="1"/>
  <c r="I278" i="174"/>
  <c r="I277" i="174" s="1"/>
  <c r="H278" i="174"/>
  <c r="H277" i="174" s="1"/>
  <c r="G278" i="174"/>
  <c r="G277" i="174" s="1"/>
  <c r="F278" i="174"/>
  <c r="F277" i="174" s="1"/>
  <c r="E278" i="174"/>
  <c r="E277" i="174" s="1"/>
  <c r="D278" i="174"/>
  <c r="D277" i="174" s="1"/>
  <c r="N277" i="174"/>
  <c r="Q275" i="174"/>
  <c r="Q274" i="174"/>
  <c r="R274" i="174" s="1"/>
  <c r="V261" i="174"/>
  <c r="Q261" i="174" s="1"/>
  <c r="R261" i="174" s="1"/>
  <c r="V260" i="174"/>
  <c r="Q232" i="174"/>
  <c r="R232" i="174" s="1"/>
  <c r="V227" i="174"/>
  <c r="V226" i="174"/>
  <c r="V191" i="174"/>
  <c r="V190" i="174"/>
  <c r="V189" i="174"/>
  <c r="V187" i="174"/>
  <c r="V186" i="174"/>
  <c r="V185" i="174"/>
  <c r="V184" i="174"/>
  <c r="V183" i="174"/>
  <c r="V156" i="174"/>
  <c r="V155" i="174"/>
  <c r="V154" i="174"/>
  <c r="O119" i="174"/>
  <c r="O118" i="174" s="1"/>
  <c r="N119" i="174"/>
  <c r="N118" i="174" s="1"/>
  <c r="M119" i="174"/>
  <c r="M118" i="174" s="1"/>
  <c r="L119" i="174"/>
  <c r="L118" i="174" s="1"/>
  <c r="K119" i="174"/>
  <c r="K118" i="174" s="1"/>
  <c r="J119" i="174"/>
  <c r="AB30" i="172" s="1"/>
  <c r="AB29" i="172" s="1"/>
  <c r="I119" i="174"/>
  <c r="AA30" i="172" s="1"/>
  <c r="AA29" i="172" s="1"/>
  <c r="H119" i="174"/>
  <c r="G119" i="174"/>
  <c r="F119" i="174"/>
  <c r="E119" i="174"/>
  <c r="D119" i="174"/>
  <c r="J118" i="174"/>
  <c r="I118" i="174"/>
  <c r="H118" i="174"/>
  <c r="G118" i="174"/>
  <c r="F118" i="174"/>
  <c r="E118" i="174"/>
  <c r="D118" i="174"/>
  <c r="H110" i="174"/>
  <c r="H108" i="174" s="1"/>
  <c r="H107" i="174" s="1"/>
  <c r="F110" i="174"/>
  <c r="X27" i="172" s="1"/>
  <c r="Q109" i="174"/>
  <c r="R109" i="174" s="1"/>
  <c r="F109" i="174"/>
  <c r="X26" i="172" s="1"/>
  <c r="O108" i="174"/>
  <c r="O107" i="174" s="1"/>
  <c r="N108" i="174"/>
  <c r="N107" i="174" s="1"/>
  <c r="M108" i="174"/>
  <c r="M107" i="174" s="1"/>
  <c r="L108" i="174"/>
  <c r="L107" i="174" s="1"/>
  <c r="K108" i="174"/>
  <c r="K107" i="174" s="1"/>
  <c r="J108" i="174"/>
  <c r="J107" i="174" s="1"/>
  <c r="I108" i="174"/>
  <c r="I107" i="174" s="1"/>
  <c r="G108" i="174"/>
  <c r="G107" i="174" s="1"/>
  <c r="E108" i="174"/>
  <c r="E107" i="174" s="1"/>
  <c r="D108" i="174"/>
  <c r="D107" i="174" s="1"/>
  <c r="O54" i="174"/>
  <c r="N54" i="174"/>
  <c r="M54" i="174"/>
  <c r="L54" i="174"/>
  <c r="K54" i="174"/>
  <c r="J54" i="174"/>
  <c r="I54" i="174"/>
  <c r="H54" i="174"/>
  <c r="G54" i="174"/>
  <c r="F54" i="174"/>
  <c r="E54" i="174"/>
  <c r="D54" i="174"/>
  <c r="O43" i="174"/>
  <c r="N43" i="174"/>
  <c r="M43" i="174"/>
  <c r="L43" i="174"/>
  <c r="K43" i="174"/>
  <c r="J43" i="174"/>
  <c r="I43" i="174"/>
  <c r="H43" i="174"/>
  <c r="G43" i="174"/>
  <c r="F43" i="174"/>
  <c r="E43" i="174"/>
  <c r="D43" i="174"/>
  <c r="O6" i="174"/>
  <c r="N6" i="174"/>
  <c r="M6" i="174"/>
  <c r="L6" i="174"/>
  <c r="K6" i="174"/>
  <c r="J6" i="174"/>
  <c r="I6" i="174"/>
  <c r="H6" i="174"/>
  <c r="G6" i="174"/>
  <c r="F6" i="174"/>
  <c r="E6" i="174"/>
  <c r="D6" i="174"/>
  <c r="K57" i="173"/>
  <c r="K56" i="173" s="1"/>
  <c r="K55" i="173" s="1"/>
  <c r="O56" i="173"/>
  <c r="O55" i="173" s="1"/>
  <c r="N56" i="173"/>
  <c r="N55" i="173" s="1"/>
  <c r="M56" i="173"/>
  <c r="M55" i="173" s="1"/>
  <c r="L56" i="173"/>
  <c r="L55" i="173" s="1"/>
  <c r="J56" i="173"/>
  <c r="J55" i="173" s="1"/>
  <c r="I56" i="173"/>
  <c r="I55" i="173" s="1"/>
  <c r="H56" i="173"/>
  <c r="H55" i="173" s="1"/>
  <c r="G56" i="173"/>
  <c r="G55" i="173" s="1"/>
  <c r="F56" i="173"/>
  <c r="F55" i="173" s="1"/>
  <c r="E56" i="173"/>
  <c r="E55" i="173" s="1"/>
  <c r="D56" i="173"/>
  <c r="D55" i="173" s="1"/>
  <c r="K54" i="173"/>
  <c r="K53" i="173"/>
  <c r="O52" i="173"/>
  <c r="O51" i="173" s="1"/>
  <c r="N52" i="173"/>
  <c r="N51" i="173" s="1"/>
  <c r="M52" i="173"/>
  <c r="M51" i="173" s="1"/>
  <c r="L52" i="173"/>
  <c r="L51" i="173" s="1"/>
  <c r="J52" i="173"/>
  <c r="J51" i="173" s="1"/>
  <c r="I52" i="173"/>
  <c r="I51" i="173" s="1"/>
  <c r="H52" i="173"/>
  <c r="H51" i="173" s="1"/>
  <c r="G52" i="173"/>
  <c r="G51" i="173" s="1"/>
  <c r="F52" i="173"/>
  <c r="F51" i="173" s="1"/>
  <c r="E52" i="173"/>
  <c r="E51" i="173" s="1"/>
  <c r="D52" i="173"/>
  <c r="D51" i="173" s="1"/>
  <c r="T50" i="173"/>
  <c r="T49" i="173"/>
  <c r="T48" i="173"/>
  <c r="Q47" i="173"/>
  <c r="R47" i="173" s="1"/>
  <c r="O41" i="173"/>
  <c r="O40" i="173" s="1"/>
  <c r="N41" i="173"/>
  <c r="N40" i="173" s="1"/>
  <c r="M41" i="173"/>
  <c r="M40" i="173" s="1"/>
  <c r="L41" i="173"/>
  <c r="L40" i="173" s="1"/>
  <c r="K41" i="173"/>
  <c r="K40" i="173" s="1"/>
  <c r="J41" i="173"/>
  <c r="J40" i="173" s="1"/>
  <c r="I41" i="173"/>
  <c r="I40" i="173" s="1"/>
  <c r="H41" i="173"/>
  <c r="H40" i="173" s="1"/>
  <c r="G41" i="173"/>
  <c r="G40" i="173" s="1"/>
  <c r="F41" i="173"/>
  <c r="F40" i="173" s="1"/>
  <c r="E41" i="173"/>
  <c r="E40" i="173" s="1"/>
  <c r="D41" i="173"/>
  <c r="D40" i="173" s="1"/>
  <c r="K39" i="173"/>
  <c r="K38" i="173" s="1"/>
  <c r="K37" i="173" s="1"/>
  <c r="O38" i="173"/>
  <c r="O37" i="173" s="1"/>
  <c r="O30" i="172" s="1"/>
  <c r="O29" i="172" s="1"/>
  <c r="N38" i="173"/>
  <c r="N37" i="173" s="1"/>
  <c r="M38" i="173"/>
  <c r="M37" i="173" s="1"/>
  <c r="M30" i="172" s="1"/>
  <c r="M29" i="172" s="1"/>
  <c r="L38" i="173"/>
  <c r="J38" i="173"/>
  <c r="J37" i="173" s="1"/>
  <c r="K30" i="172" s="1"/>
  <c r="K29" i="172" s="1"/>
  <c r="I38" i="173"/>
  <c r="I37" i="173" s="1"/>
  <c r="I30" i="172" s="1"/>
  <c r="I29" i="172" s="1"/>
  <c r="H38" i="173"/>
  <c r="H37" i="173" s="1"/>
  <c r="H30" i="172" s="1"/>
  <c r="H29" i="172" s="1"/>
  <c r="G38" i="173"/>
  <c r="G37" i="173" s="1"/>
  <c r="F38" i="173"/>
  <c r="F37" i="173" s="1"/>
  <c r="F30" i="172" s="1"/>
  <c r="F29" i="172" s="1"/>
  <c r="E38" i="173"/>
  <c r="E37" i="173" s="1"/>
  <c r="E30" i="172" s="1"/>
  <c r="E29" i="172" s="1"/>
  <c r="D38" i="173"/>
  <c r="D37" i="173" s="1"/>
  <c r="L37" i="173"/>
  <c r="L30" i="172" s="1"/>
  <c r="L29" i="172" s="1"/>
  <c r="O30" i="173"/>
  <c r="O29" i="173" s="1"/>
  <c r="N30" i="173"/>
  <c r="N29" i="173" s="1"/>
  <c r="M30" i="173"/>
  <c r="M29" i="173" s="1"/>
  <c r="L30" i="173"/>
  <c r="L29" i="173" s="1"/>
  <c r="K30" i="173"/>
  <c r="K29" i="173" s="1"/>
  <c r="J30" i="173"/>
  <c r="J29" i="173" s="1"/>
  <c r="I30" i="173"/>
  <c r="I29" i="173" s="1"/>
  <c r="H30" i="173"/>
  <c r="H29" i="173" s="1"/>
  <c r="G30" i="173"/>
  <c r="G29" i="173" s="1"/>
  <c r="E30" i="173"/>
  <c r="E29" i="173" s="1"/>
  <c r="D30" i="173"/>
  <c r="D29" i="173" s="1"/>
  <c r="F29" i="173"/>
  <c r="Q28" i="173"/>
  <c r="R28" i="173" s="1"/>
  <c r="O24" i="173"/>
  <c r="N23" i="173"/>
  <c r="M23" i="173"/>
  <c r="L23" i="173"/>
  <c r="K23" i="173"/>
  <c r="J23" i="173"/>
  <c r="I23" i="173"/>
  <c r="Q22" i="173"/>
  <c r="R22" i="173" s="1"/>
  <c r="Q15" i="173"/>
  <c r="Q11" i="173"/>
  <c r="R11" i="173" s="1"/>
  <c r="O7" i="173"/>
  <c r="N7" i="173"/>
  <c r="M7" i="173"/>
  <c r="L7" i="173"/>
  <c r="J7" i="173"/>
  <c r="J6" i="173" s="1"/>
  <c r="J5" i="173" s="1"/>
  <c r="I7" i="173"/>
  <c r="I6" i="173" s="1"/>
  <c r="I5" i="173" s="1"/>
  <c r="H7" i="173"/>
  <c r="H6" i="173" s="1"/>
  <c r="H5" i="173" s="1"/>
  <c r="G7" i="173"/>
  <c r="G6" i="173" s="1"/>
  <c r="G5" i="173" s="1"/>
  <c r="F7" i="173"/>
  <c r="F6" i="173" s="1"/>
  <c r="F5" i="173" s="1"/>
  <c r="E7" i="173"/>
  <c r="E6" i="173" s="1"/>
  <c r="E5" i="173" s="1"/>
  <c r="D7" i="173"/>
  <c r="D6" i="173" s="1"/>
  <c r="D5" i="173" s="1"/>
  <c r="AG65" i="172"/>
  <c r="AE65" i="172"/>
  <c r="AD65" i="172"/>
  <c r="AC65" i="172"/>
  <c r="AC63" i="172" s="1"/>
  <c r="AC62" i="172" s="1"/>
  <c r="AB65" i="172"/>
  <c r="AA65" i="172"/>
  <c r="Z65" i="172"/>
  <c r="Z63" i="172" s="1"/>
  <c r="Z62" i="172" s="1"/>
  <c r="Y65" i="172"/>
  <c r="Y63" i="172" s="1"/>
  <c r="Y62" i="172" s="1"/>
  <c r="V65" i="172"/>
  <c r="AG64" i="172"/>
  <c r="AB64" i="172"/>
  <c r="AA64" i="172"/>
  <c r="V64" i="172"/>
  <c r="V63" i="172" s="1"/>
  <c r="V62" i="172" s="1"/>
  <c r="AF63" i="172"/>
  <c r="AF62" i="172" s="1"/>
  <c r="AG61" i="172"/>
  <c r="AG60" i="172" s="1"/>
  <c r="AG59" i="172" s="1"/>
  <c r="AE61" i="172"/>
  <c r="AE60" i="172" s="1"/>
  <c r="AE59" i="172" s="1"/>
  <c r="AD61" i="172"/>
  <c r="AD60" i="172" s="1"/>
  <c r="AD59" i="172" s="1"/>
  <c r="AC61" i="172"/>
  <c r="AC60" i="172" s="1"/>
  <c r="AC59" i="172" s="1"/>
  <c r="AB61" i="172"/>
  <c r="AB60" i="172" s="1"/>
  <c r="AB59" i="172" s="1"/>
  <c r="AA61" i="172"/>
  <c r="AA60" i="172" s="1"/>
  <c r="AA59" i="172" s="1"/>
  <c r="X61" i="172"/>
  <c r="X60" i="172" s="1"/>
  <c r="X59" i="172" s="1"/>
  <c r="W61" i="172"/>
  <c r="W60" i="172" s="1"/>
  <c r="W59" i="172" s="1"/>
  <c r="V61" i="172"/>
  <c r="V60" i="172" s="1"/>
  <c r="V59" i="172" s="1"/>
  <c r="AF60" i="172"/>
  <c r="AF59" i="172" s="1"/>
  <c r="Z60" i="172"/>
  <c r="Z59" i="172" s="1"/>
  <c r="Y60" i="172"/>
  <c r="Y59" i="172" s="1"/>
  <c r="AG58" i="172"/>
  <c r="AG57" i="172"/>
  <c r="AG56" i="172"/>
  <c r="AE56" i="172"/>
  <c r="AD56" i="172"/>
  <c r="AG55" i="172"/>
  <c r="AG54" i="172"/>
  <c r="AE54" i="172"/>
  <c r="AG53" i="172"/>
  <c r="AE53" i="172"/>
  <c r="AD53" i="172"/>
  <c r="AG51" i="172"/>
  <c r="AE51" i="172"/>
  <c r="AD51" i="172"/>
  <c r="AG50" i="172"/>
  <c r="AE50" i="172"/>
  <c r="AD50" i="172"/>
  <c r="AG49" i="172"/>
  <c r="AE49" i="172"/>
  <c r="AD49" i="172"/>
  <c r="AG48" i="172"/>
  <c r="AE48" i="172"/>
  <c r="AD48" i="172"/>
  <c r="AG47" i="172"/>
  <c r="AE47" i="172"/>
  <c r="AD47" i="172"/>
  <c r="AG46" i="172"/>
  <c r="AE46" i="172"/>
  <c r="AD46" i="172"/>
  <c r="AG45" i="172"/>
  <c r="AE45" i="172"/>
  <c r="AD45" i="172"/>
  <c r="AG44" i="172"/>
  <c r="AE44" i="172"/>
  <c r="AD44" i="172"/>
  <c r="AG43" i="172"/>
  <c r="AE43" i="172"/>
  <c r="AD43" i="172"/>
  <c r="AC43" i="172"/>
  <c r="AB43" i="172"/>
  <c r="AA43" i="172"/>
  <c r="Z43" i="172"/>
  <c r="X43" i="172"/>
  <c r="W43" i="172"/>
  <c r="V43" i="172"/>
  <c r="AG42" i="172"/>
  <c r="AE42" i="172"/>
  <c r="AD42" i="172"/>
  <c r="AB42" i="172"/>
  <c r="AA42" i="172"/>
  <c r="Z42" i="172"/>
  <c r="X42" i="172"/>
  <c r="W42" i="172"/>
  <c r="V42" i="172"/>
  <c r="AG41" i="172"/>
  <c r="AE41" i="172"/>
  <c r="AD41" i="172"/>
  <c r="AB41" i="172"/>
  <c r="AA41" i="172"/>
  <c r="Z41" i="172"/>
  <c r="X41" i="172"/>
  <c r="W41" i="172"/>
  <c r="V41" i="172"/>
  <c r="O41" i="172"/>
  <c r="M41" i="172"/>
  <c r="L41" i="172"/>
  <c r="K41" i="172"/>
  <c r="J41" i="172"/>
  <c r="I41" i="172"/>
  <c r="F41" i="172"/>
  <c r="E41" i="172"/>
  <c r="D41" i="172"/>
  <c r="AG40" i="172"/>
  <c r="AE40" i="172"/>
  <c r="AD40" i="172"/>
  <c r="AB40" i="172"/>
  <c r="AA40" i="172"/>
  <c r="X40" i="172"/>
  <c r="W40" i="172"/>
  <c r="V40" i="172"/>
  <c r="O40" i="172"/>
  <c r="M40" i="172"/>
  <c r="L40" i="172"/>
  <c r="K40" i="172"/>
  <c r="J40" i="172"/>
  <c r="I40" i="172"/>
  <c r="F40" i="172"/>
  <c r="E40" i="172"/>
  <c r="D40" i="172"/>
  <c r="D39" i="172" s="1"/>
  <c r="AG39" i="172"/>
  <c r="AE39" i="172"/>
  <c r="AD39" i="172"/>
  <c r="AC39" i="172"/>
  <c r="AB39" i="172"/>
  <c r="AA39" i="172"/>
  <c r="Z39" i="172"/>
  <c r="X39" i="172"/>
  <c r="W39" i="172"/>
  <c r="V39" i="172"/>
  <c r="N39" i="172"/>
  <c r="H39" i="172"/>
  <c r="G39" i="172"/>
  <c r="AG38" i="172"/>
  <c r="AE38" i="172"/>
  <c r="AD38" i="172"/>
  <c r="O38" i="172"/>
  <c r="M38" i="172"/>
  <c r="L38" i="172"/>
  <c r="J38" i="172"/>
  <c r="I38" i="172"/>
  <c r="H38" i="172"/>
  <c r="F38" i="172"/>
  <c r="E38" i="172"/>
  <c r="D38" i="172"/>
  <c r="AG37" i="172"/>
  <c r="AE37" i="172"/>
  <c r="AD37" i="172"/>
  <c r="AB37" i="172"/>
  <c r="AA37" i="172"/>
  <c r="Z37" i="172"/>
  <c r="X37" i="172"/>
  <c r="W37" i="172"/>
  <c r="V37" i="172"/>
  <c r="O37" i="172"/>
  <c r="M37" i="172"/>
  <c r="L37" i="172"/>
  <c r="J37" i="172"/>
  <c r="I37" i="172"/>
  <c r="H37" i="172"/>
  <c r="F37" i="172"/>
  <c r="E37" i="172"/>
  <c r="D37" i="172"/>
  <c r="D36" i="172" s="1"/>
  <c r="AG36" i="172"/>
  <c r="AE36" i="172"/>
  <c r="AD36" i="172"/>
  <c r="AC36" i="172"/>
  <c r="AB36" i="172"/>
  <c r="AA36" i="172"/>
  <c r="N36" i="172"/>
  <c r="K36" i="172"/>
  <c r="G36" i="172"/>
  <c r="AG35" i="172"/>
  <c r="AE35" i="172"/>
  <c r="AD35" i="172"/>
  <c r="AC35" i="172"/>
  <c r="AB35" i="172"/>
  <c r="AA35" i="172"/>
  <c r="Z35" i="172"/>
  <c r="X35" i="172"/>
  <c r="W35" i="172"/>
  <c r="V35" i="172"/>
  <c r="O35" i="172"/>
  <c r="M35" i="172"/>
  <c r="L35" i="172"/>
  <c r="AG34" i="172"/>
  <c r="AE34" i="172"/>
  <c r="AD34" i="172"/>
  <c r="AB34" i="172"/>
  <c r="AA34" i="172"/>
  <c r="X34" i="172"/>
  <c r="W34" i="172"/>
  <c r="V34" i="172"/>
  <c r="O34" i="172"/>
  <c r="M34" i="172"/>
  <c r="L34" i="172"/>
  <c r="AG33" i="172"/>
  <c r="AE33" i="172"/>
  <c r="AD33" i="172"/>
  <c r="AB33" i="172"/>
  <c r="AA33" i="172"/>
  <c r="O33" i="172"/>
  <c r="M33" i="172"/>
  <c r="L33" i="172"/>
  <c r="K33" i="172"/>
  <c r="J33" i="172"/>
  <c r="I33" i="172"/>
  <c r="H33" i="172"/>
  <c r="H31" i="172" s="1"/>
  <c r="G33" i="172"/>
  <c r="G31" i="172" s="1"/>
  <c r="F33" i="172"/>
  <c r="E33" i="172"/>
  <c r="D33" i="172"/>
  <c r="AG32" i="172"/>
  <c r="AE32" i="172"/>
  <c r="AD32" i="172"/>
  <c r="O32" i="172"/>
  <c r="M32" i="172"/>
  <c r="L32" i="172"/>
  <c r="K32" i="172"/>
  <c r="J32" i="172"/>
  <c r="I32" i="172"/>
  <c r="F32" i="172"/>
  <c r="E32" i="172"/>
  <c r="D32" i="172"/>
  <c r="D31" i="172" s="1"/>
  <c r="AG31" i="172"/>
  <c r="AE31" i="172"/>
  <c r="AD31" i="172"/>
  <c r="AB31" i="172"/>
  <c r="AA31" i="172"/>
  <c r="X31" i="172"/>
  <c r="W31" i="172"/>
  <c r="V31" i="172"/>
  <c r="V30" i="172" s="1"/>
  <c r="V29" i="172" s="1"/>
  <c r="N31" i="172"/>
  <c r="AF30" i="172"/>
  <c r="AF29" i="172" s="1"/>
  <c r="Y30" i="172"/>
  <c r="Y29" i="172" s="1"/>
  <c r="D30" i="172"/>
  <c r="D29" i="172" s="1"/>
  <c r="N29" i="172"/>
  <c r="G29" i="172"/>
  <c r="AG28" i="172"/>
  <c r="AE28" i="172"/>
  <c r="AD28" i="172"/>
  <c r="AB28" i="172"/>
  <c r="AA28" i="172"/>
  <c r="Z28" i="172"/>
  <c r="X28" i="172"/>
  <c r="W28" i="172"/>
  <c r="V28" i="172"/>
  <c r="O28" i="172"/>
  <c r="M28" i="172"/>
  <c r="L28" i="172"/>
  <c r="AG27" i="172"/>
  <c r="AE27" i="172"/>
  <c r="AD27" i="172"/>
  <c r="AB27" i="172"/>
  <c r="AA27" i="172"/>
  <c r="W27" i="172"/>
  <c r="V27" i="172"/>
  <c r="O27" i="172"/>
  <c r="M27" i="172"/>
  <c r="L27" i="172"/>
  <c r="J27" i="172"/>
  <c r="J26" i="172" s="1"/>
  <c r="I27" i="172"/>
  <c r="I26" i="172" s="1"/>
  <c r="F27" i="172"/>
  <c r="F26" i="172" s="1"/>
  <c r="E27" i="172"/>
  <c r="E26" i="172" s="1"/>
  <c r="D27" i="172"/>
  <c r="D26" i="172" s="1"/>
  <c r="AG26" i="172"/>
  <c r="AE26" i="172"/>
  <c r="AD26" i="172"/>
  <c r="AB26" i="172"/>
  <c r="AA26" i="172"/>
  <c r="W26" i="172"/>
  <c r="V26" i="172"/>
  <c r="V25" i="172" s="1"/>
  <c r="V24" i="172" s="1"/>
  <c r="N26" i="172"/>
  <c r="K26" i="172"/>
  <c r="H26" i="172"/>
  <c r="G26" i="172"/>
  <c r="AF25" i="172"/>
  <c r="AF24" i="172" s="1"/>
  <c r="AC25" i="172"/>
  <c r="AC24" i="172" s="1"/>
  <c r="Y25" i="172"/>
  <c r="Y24" i="172" s="1"/>
  <c r="O25" i="172"/>
  <c r="M25" i="172"/>
  <c r="AG23" i="172"/>
  <c r="AE23" i="172"/>
  <c r="AD23" i="172"/>
  <c r="AB23" i="172"/>
  <c r="AA23" i="172"/>
  <c r="Z23" i="172"/>
  <c r="Y23" i="172"/>
  <c r="O24" i="172"/>
  <c r="M24" i="172"/>
  <c r="AG22" i="172"/>
  <c r="AE22" i="172"/>
  <c r="AD22" i="172"/>
  <c r="AB22" i="172"/>
  <c r="AA22" i="172"/>
  <c r="Z22" i="172"/>
  <c r="X22" i="172"/>
  <c r="W22" i="172"/>
  <c r="V22" i="172"/>
  <c r="O23" i="172"/>
  <c r="M23" i="172"/>
  <c r="L23" i="172"/>
  <c r="AG21" i="172"/>
  <c r="AE21" i="172"/>
  <c r="AD21" i="172"/>
  <c r="AC21" i="172"/>
  <c r="AC17" i="172" s="1"/>
  <c r="AB21" i="172"/>
  <c r="AA21" i="172"/>
  <c r="X21" i="172"/>
  <c r="W21" i="172"/>
  <c r="V21" i="172"/>
  <c r="O22" i="172"/>
  <c r="M22" i="172"/>
  <c r="L22" i="172"/>
  <c r="AG20" i="172"/>
  <c r="AE20" i="172"/>
  <c r="AD20" i="172"/>
  <c r="AB20" i="172"/>
  <c r="AA20" i="172"/>
  <c r="Z20" i="172"/>
  <c r="X20" i="172"/>
  <c r="W20" i="172"/>
  <c r="V20" i="172"/>
  <c r="M21" i="172"/>
  <c r="L21" i="172"/>
  <c r="AG19" i="172"/>
  <c r="AE19" i="172"/>
  <c r="AD19" i="172"/>
  <c r="AB19" i="172"/>
  <c r="AA19" i="172"/>
  <c r="X19" i="172"/>
  <c r="W19" i="172"/>
  <c r="V19" i="172"/>
  <c r="N20" i="172"/>
  <c r="N6" i="172" s="1"/>
  <c r="AG18" i="172"/>
  <c r="AE18" i="172"/>
  <c r="AD18" i="172"/>
  <c r="AB18" i="172"/>
  <c r="AA18" i="172"/>
  <c r="Z18" i="172"/>
  <c r="Y18" i="172"/>
  <c r="X18" i="172"/>
  <c r="W18" i="172"/>
  <c r="V18" i="172"/>
  <c r="V17" i="172" s="1"/>
  <c r="O19" i="172"/>
  <c r="M19" i="172"/>
  <c r="L19" i="172"/>
  <c r="AF17" i="172"/>
  <c r="O17" i="172"/>
  <c r="M17" i="172"/>
  <c r="L17" i="172"/>
  <c r="AG16" i="172"/>
  <c r="AE16" i="172"/>
  <c r="AD16" i="172"/>
  <c r="AC16" i="172"/>
  <c r="AB16" i="172"/>
  <c r="O16" i="172"/>
  <c r="M16" i="172"/>
  <c r="L16" i="172"/>
  <c r="AG15" i="172"/>
  <c r="AE15" i="172"/>
  <c r="AD15" i="172"/>
  <c r="AC15" i="172"/>
  <c r="AB15" i="172"/>
  <c r="AA15" i="172"/>
  <c r="Z15" i="172"/>
  <c r="X15" i="172"/>
  <c r="X13" i="172" s="1"/>
  <c r="W15" i="172"/>
  <c r="W13" i="172" s="1"/>
  <c r="V15" i="172"/>
  <c r="O15" i="172"/>
  <c r="M15" i="172"/>
  <c r="L15" i="172"/>
  <c r="AG14" i="172"/>
  <c r="AE14" i="172"/>
  <c r="AD14" i="172"/>
  <c r="AC14" i="172"/>
  <c r="AB14" i="172"/>
  <c r="AA14" i="172"/>
  <c r="Z14" i="172"/>
  <c r="Y14" i="172"/>
  <c r="Y13" i="172" s="1"/>
  <c r="O14" i="172"/>
  <c r="M14" i="172"/>
  <c r="L14" i="172"/>
  <c r="AF13" i="172"/>
  <c r="V13" i="172"/>
  <c r="O13" i="172"/>
  <c r="M13" i="172"/>
  <c r="L13" i="172"/>
  <c r="AG12" i="172"/>
  <c r="AE12" i="172"/>
  <c r="AD12" i="172"/>
  <c r="AB12" i="172"/>
  <c r="AA12" i="172"/>
  <c r="X12" i="172"/>
  <c r="W12" i="172"/>
  <c r="V12" i="172"/>
  <c r="O12" i="172"/>
  <c r="M12" i="172"/>
  <c r="L12" i="172"/>
  <c r="AG11" i="172"/>
  <c r="AE11" i="172"/>
  <c r="AD11" i="172"/>
  <c r="AB11" i="172"/>
  <c r="AA11" i="172"/>
  <c r="X11" i="172"/>
  <c r="W11" i="172"/>
  <c r="V11" i="172"/>
  <c r="O11" i="172"/>
  <c r="M11" i="172"/>
  <c r="L11" i="172"/>
  <c r="AG10" i="172"/>
  <c r="AE10" i="172"/>
  <c r="AD10" i="172"/>
  <c r="AB10" i="172"/>
  <c r="AA10" i="172"/>
  <c r="X10" i="172"/>
  <c r="W10" i="172"/>
  <c r="V10" i="172"/>
  <c r="O10" i="172"/>
  <c r="M10" i="172"/>
  <c r="L10" i="172"/>
  <c r="AG9" i="172"/>
  <c r="AE9" i="172"/>
  <c r="AD9" i="172"/>
  <c r="AB9" i="172"/>
  <c r="AA9" i="172"/>
  <c r="X9" i="172"/>
  <c r="W9" i="172"/>
  <c r="V9" i="172"/>
  <c r="O9" i="172"/>
  <c r="M9" i="172"/>
  <c r="L9" i="172"/>
  <c r="AG8" i="172"/>
  <c r="AE8" i="172"/>
  <c r="AD8" i="172"/>
  <c r="AB8" i="172"/>
  <c r="AA8" i="172"/>
  <c r="Z8" i="172"/>
  <c r="Z7" i="172" s="1"/>
  <c r="X8" i="172"/>
  <c r="W8" i="172"/>
  <c r="V8" i="172"/>
  <c r="V7" i="172" s="1"/>
  <c r="O8" i="172"/>
  <c r="M8" i="172"/>
  <c r="L8" i="172"/>
  <c r="J8" i="172"/>
  <c r="I8" i="172"/>
  <c r="H8" i="172"/>
  <c r="F8" i="172"/>
  <c r="E8" i="172"/>
  <c r="D8" i="172"/>
  <c r="AF7" i="172"/>
  <c r="AC7" i="172"/>
  <c r="Y7" i="172"/>
  <c r="O7" i="172"/>
  <c r="M7" i="172"/>
  <c r="L7" i="172"/>
  <c r="J7" i="172"/>
  <c r="I7" i="172"/>
  <c r="H7" i="172"/>
  <c r="F7" i="172"/>
  <c r="E7" i="172"/>
  <c r="D7" i="172"/>
  <c r="D6" i="172" s="1"/>
  <c r="K6" i="172"/>
  <c r="G6" i="172"/>
  <c r="Q154" i="174" l="1"/>
  <c r="Q99" i="174"/>
  <c r="R99" i="174" s="1"/>
  <c r="U61" i="173"/>
  <c r="Q58" i="173" s="1"/>
  <c r="Q56" i="173" s="1"/>
  <c r="R56" i="173" s="1"/>
  <c r="U48" i="173"/>
  <c r="Q48" i="173" s="1"/>
  <c r="AJ58" i="172"/>
  <c r="Q25" i="172"/>
  <c r="R25" i="172" s="1"/>
  <c r="Q209" i="174"/>
  <c r="R209" i="174" s="1"/>
  <c r="Q202" i="174"/>
  <c r="R202" i="174" s="1"/>
  <c r="I31" i="172"/>
  <c r="F39" i="172"/>
  <c r="R58" i="173"/>
  <c r="Q233" i="174"/>
  <c r="R233" i="174" s="1"/>
  <c r="Q9" i="172"/>
  <c r="R9" i="172" s="1"/>
  <c r="N6" i="173"/>
  <c r="N5" i="173" s="1"/>
  <c r="N4" i="173" s="1"/>
  <c r="K39" i="172"/>
  <c r="AI56" i="172"/>
  <c r="AJ56" i="172" s="1"/>
  <c r="L6" i="173"/>
  <c r="L5" i="173" s="1"/>
  <c r="L4" i="173" s="1"/>
  <c r="M26" i="172"/>
  <c r="O23" i="173"/>
  <c r="O6" i="173" s="1"/>
  <c r="O5" i="173" s="1"/>
  <c r="O4" i="173" s="1"/>
  <c r="Q15" i="172"/>
  <c r="R15" i="172" s="1"/>
  <c r="P26" i="172"/>
  <c r="P39" i="172"/>
  <c r="E39" i="172"/>
  <c r="Q11" i="172"/>
  <c r="R11" i="172" s="1"/>
  <c r="Q10" i="172"/>
  <c r="R10" i="172" s="1"/>
  <c r="AI61" i="172"/>
  <c r="S200" i="174"/>
  <c r="S162" i="174"/>
  <c r="AA63" i="172"/>
  <c r="AA62" i="172" s="1"/>
  <c r="S160" i="174"/>
  <c r="AI64" i="172"/>
  <c r="AJ64" i="172" s="1"/>
  <c r="S127" i="174"/>
  <c r="Q159" i="174"/>
  <c r="R159" i="174" s="1"/>
  <c r="Q21" i="174"/>
  <c r="R21" i="174" s="1"/>
  <c r="Q38" i="174"/>
  <c r="AI12" i="172" s="1"/>
  <c r="AJ12" i="172" s="1"/>
  <c r="H5" i="174"/>
  <c r="H4" i="174" s="1"/>
  <c r="I5" i="174"/>
  <c r="I4" i="174" s="1"/>
  <c r="AB63" i="172"/>
  <c r="AB62" i="172" s="1"/>
  <c r="AH63" i="172"/>
  <c r="AH62" i="172" s="1"/>
  <c r="Z27" i="172"/>
  <c r="Z25" i="172" s="1"/>
  <c r="Z24" i="172" s="1"/>
  <c r="Q270" i="174"/>
  <c r="R270" i="174" s="1"/>
  <c r="D5" i="174"/>
  <c r="D4" i="174" s="1"/>
  <c r="L5" i="174"/>
  <c r="L4" i="174" s="1"/>
  <c r="Q48" i="174"/>
  <c r="R48" i="174" s="1"/>
  <c r="F108" i="174"/>
  <c r="F107" i="174" s="1"/>
  <c r="W7" i="172"/>
  <c r="AH13" i="172"/>
  <c r="R173" i="174"/>
  <c r="AI35" i="172"/>
  <c r="AJ35" i="172" s="1"/>
  <c r="R275" i="174"/>
  <c r="AI57" i="172"/>
  <c r="AJ57" i="172" s="1"/>
  <c r="AF6" i="172"/>
  <c r="AF5" i="172" s="1"/>
  <c r="Q33" i="174"/>
  <c r="AI47" i="172"/>
  <c r="AJ47" i="172" s="1"/>
  <c r="Q111" i="174"/>
  <c r="Q179" i="174"/>
  <c r="R179" i="174" s="1"/>
  <c r="Q215" i="174"/>
  <c r="R215" i="174" s="1"/>
  <c r="AE13" i="172"/>
  <c r="AI26" i="172"/>
  <c r="AJ26" i="172" s="1"/>
  <c r="K5" i="174"/>
  <c r="K4" i="174" s="1"/>
  <c r="Q45" i="174"/>
  <c r="R45" i="174" s="1"/>
  <c r="AH17" i="172"/>
  <c r="Q221" i="174"/>
  <c r="R221" i="174" s="1"/>
  <c r="Q71" i="174"/>
  <c r="R71" i="174" s="1"/>
  <c r="Q194" i="174"/>
  <c r="R194" i="174" s="1"/>
  <c r="Q255" i="174"/>
  <c r="R255" i="174" s="1"/>
  <c r="AI65" i="172"/>
  <c r="AJ65" i="172" s="1"/>
  <c r="R283" i="174"/>
  <c r="Q281" i="174"/>
  <c r="AI23" i="172"/>
  <c r="AJ23" i="172" s="1"/>
  <c r="R55" i="174"/>
  <c r="AI18" i="172"/>
  <c r="AJ18" i="172" s="1"/>
  <c r="F5" i="174"/>
  <c r="V6" i="172"/>
  <c r="V5" i="172" s="1"/>
  <c r="AG25" i="172"/>
  <c r="AG24" i="172" s="1"/>
  <c r="G5" i="174"/>
  <c r="G4" i="174" s="1"/>
  <c r="O5" i="174"/>
  <c r="O4" i="174" s="1"/>
  <c r="Q161" i="174"/>
  <c r="R161" i="174" s="1"/>
  <c r="Q183" i="174"/>
  <c r="R183" i="174" s="1"/>
  <c r="Q254" i="174"/>
  <c r="Q268" i="174"/>
  <c r="AB13" i="172"/>
  <c r="Q56" i="174"/>
  <c r="R56" i="174" s="1"/>
  <c r="Q78" i="174"/>
  <c r="Q175" i="174"/>
  <c r="Q272" i="174"/>
  <c r="AH30" i="172"/>
  <c r="AH29" i="172" s="1"/>
  <c r="R276" i="174"/>
  <c r="AG63" i="172"/>
  <c r="AG62" i="172" s="1"/>
  <c r="Q110" i="174"/>
  <c r="R110" i="174" s="1"/>
  <c r="Q199" i="174"/>
  <c r="R199" i="174" s="1"/>
  <c r="AH25" i="172"/>
  <c r="AH24" i="172" s="1"/>
  <c r="X7" i="172"/>
  <c r="Q23" i="174"/>
  <c r="Q120" i="174"/>
  <c r="R120" i="174" s="1"/>
  <c r="Q217" i="174"/>
  <c r="AH7" i="172"/>
  <c r="K52" i="173"/>
  <c r="K51" i="173" s="1"/>
  <c r="P20" i="172"/>
  <c r="P6" i="172" s="1"/>
  <c r="J30" i="172"/>
  <c r="J29" i="172" s="1"/>
  <c r="D5" i="172"/>
  <c r="P36" i="172"/>
  <c r="I39" i="172"/>
  <c r="R38" i="173"/>
  <c r="I6" i="172"/>
  <c r="G5" i="172"/>
  <c r="L36" i="172"/>
  <c r="I4" i="173"/>
  <c r="P31" i="172"/>
  <c r="N5" i="172"/>
  <c r="K31" i="172"/>
  <c r="F36" i="172"/>
  <c r="R35" i="173"/>
  <c r="R39" i="173"/>
  <c r="R45" i="173"/>
  <c r="Q8" i="172"/>
  <c r="R8" i="172" s="1"/>
  <c r="R9" i="173"/>
  <c r="R16" i="173"/>
  <c r="R26" i="173"/>
  <c r="P5" i="174"/>
  <c r="P4" i="174" s="1"/>
  <c r="N5" i="174"/>
  <c r="N4" i="174" s="1"/>
  <c r="X25" i="172"/>
  <c r="X24" i="172" s="1"/>
  <c r="AD63" i="172"/>
  <c r="AD62" i="172" s="1"/>
  <c r="P6" i="173"/>
  <c r="P5" i="173" s="1"/>
  <c r="P4" i="173" s="1"/>
  <c r="L31" i="172"/>
  <c r="I36" i="172"/>
  <c r="E4" i="173"/>
  <c r="Q17" i="172"/>
  <c r="R17" i="172" s="1"/>
  <c r="M36" i="172"/>
  <c r="R33" i="172"/>
  <c r="L20" i="172"/>
  <c r="L6" i="172" s="1"/>
  <c r="Q16" i="172"/>
  <c r="R16" i="172" s="1"/>
  <c r="Q24" i="172"/>
  <c r="R24" i="172" s="1"/>
  <c r="J31" i="172"/>
  <c r="R13" i="172"/>
  <c r="O39" i="172"/>
  <c r="M6" i="173"/>
  <c r="M5" i="173" s="1"/>
  <c r="M4" i="173" s="1"/>
  <c r="G4" i="173"/>
  <c r="O36" i="172"/>
  <c r="AA25" i="172"/>
  <c r="AA24" i="172" s="1"/>
  <c r="L26" i="172"/>
  <c r="AD13" i="172"/>
  <c r="R28" i="172"/>
  <c r="M39" i="172"/>
  <c r="AD25" i="172"/>
  <c r="AD24" i="172" s="1"/>
  <c r="J36" i="172"/>
  <c r="AE63" i="172"/>
  <c r="AE62" i="172" s="1"/>
  <c r="Z13" i="172"/>
  <c r="AD17" i="172"/>
  <c r="AE7" i="172"/>
  <c r="AA13" i="172"/>
  <c r="Z17" i="172"/>
  <c r="AC13" i="172"/>
  <c r="AC6" i="172" s="1"/>
  <c r="E31" i="172"/>
  <c r="F6" i="172"/>
  <c r="AD7" i="172"/>
  <c r="Y17" i="172"/>
  <c r="Y6" i="172" s="1"/>
  <c r="Y5" i="172" s="1"/>
  <c r="F31" i="172"/>
  <c r="H36" i="172"/>
  <c r="X30" i="172"/>
  <c r="X29" i="172" s="1"/>
  <c r="H6" i="172"/>
  <c r="J6" i="172"/>
  <c r="J39" i="172"/>
  <c r="AB17" i="172"/>
  <c r="R23" i="172"/>
  <c r="AB25" i="172"/>
  <c r="AB24" i="172" s="1"/>
  <c r="AB7" i="172"/>
  <c r="AA7" i="172"/>
  <c r="AD30" i="172"/>
  <c r="AD29" i="172" s="1"/>
  <c r="L39" i="172"/>
  <c r="Z30" i="172"/>
  <c r="Z29" i="172" s="1"/>
  <c r="E6" i="172"/>
  <c r="M20" i="172"/>
  <c r="M6" i="172" s="1"/>
  <c r="AG7" i="172"/>
  <c r="X17" i="172"/>
  <c r="Q27" i="172"/>
  <c r="Q30" i="173"/>
  <c r="R30" i="173" s="1"/>
  <c r="Q22" i="172"/>
  <c r="R22" i="172" s="1"/>
  <c r="Q38" i="172"/>
  <c r="R38" i="172" s="1"/>
  <c r="Q34" i="172"/>
  <c r="R34" i="172" s="1"/>
  <c r="AG30" i="172"/>
  <c r="AG29" i="172" s="1"/>
  <c r="AE17" i="172"/>
  <c r="M31" i="172"/>
  <c r="AC30" i="172"/>
  <c r="AC29" i="172" s="1"/>
  <c r="E36" i="172"/>
  <c r="Q41" i="172"/>
  <c r="R41" i="172" s="1"/>
  <c r="F4" i="173"/>
  <c r="Q12" i="172"/>
  <c r="R12" i="172" s="1"/>
  <c r="Q23" i="173"/>
  <c r="R23" i="173" s="1"/>
  <c r="Q21" i="172"/>
  <c r="AE25" i="172"/>
  <c r="AE24" i="172" s="1"/>
  <c r="D4" i="173"/>
  <c r="M5" i="174"/>
  <c r="M4" i="174" s="1"/>
  <c r="W17" i="172"/>
  <c r="AG17" i="172"/>
  <c r="O21" i="172"/>
  <c r="O20" i="172" s="1"/>
  <c r="O6" i="172" s="1"/>
  <c r="O26" i="172"/>
  <c r="W30" i="172"/>
  <c r="W29" i="172" s="1"/>
  <c r="O31" i="172"/>
  <c r="Q37" i="173"/>
  <c r="R37" i="173" s="1"/>
  <c r="Q40" i="172"/>
  <c r="AI51" i="172"/>
  <c r="AJ51" i="172" s="1"/>
  <c r="J4" i="173"/>
  <c r="J5" i="174"/>
  <c r="J4" i="174" s="1"/>
  <c r="Q7" i="174"/>
  <c r="R7" i="174" s="1"/>
  <c r="AG13" i="172"/>
  <c r="AA17" i="172"/>
  <c r="W25" i="172"/>
  <c r="W24" i="172" s="1"/>
  <c r="AE30" i="172"/>
  <c r="AE29" i="172" s="1"/>
  <c r="AI14" i="172"/>
  <c r="AJ14" i="172" s="1"/>
  <c r="H4" i="173"/>
  <c r="Q14" i="172"/>
  <c r="R14" i="172" s="1"/>
  <c r="Q19" i="172"/>
  <c r="R19" i="172" s="1"/>
  <c r="Q32" i="172"/>
  <c r="AI43" i="172"/>
  <c r="AJ43" i="172" s="1"/>
  <c r="E5" i="174"/>
  <c r="E4" i="174" s="1"/>
  <c r="K8" i="173"/>
  <c r="K7" i="173" s="1"/>
  <c r="K6" i="173" s="1"/>
  <c r="K5" i="173" s="1"/>
  <c r="Q8" i="173"/>
  <c r="R8" i="173" s="1"/>
  <c r="Q53" i="173"/>
  <c r="R53" i="173" s="1"/>
  <c r="Q278" i="174"/>
  <c r="R278" i="174" s="1"/>
  <c r="AI60" i="172" l="1"/>
  <c r="AJ60" i="172" s="1"/>
  <c r="AJ61" i="172"/>
  <c r="K5" i="172"/>
  <c r="Q119" i="174"/>
  <c r="R119" i="174" s="1"/>
  <c r="I5" i="172"/>
  <c r="AI54" i="172"/>
  <c r="AJ54" i="172" s="1"/>
  <c r="R38" i="174"/>
  <c r="AI9" i="172"/>
  <c r="AJ9" i="172" s="1"/>
  <c r="AI50" i="172"/>
  <c r="AJ50" i="172" s="1"/>
  <c r="AI44" i="172"/>
  <c r="AJ44" i="172" s="1"/>
  <c r="AH6" i="172"/>
  <c r="AH5" i="172" s="1"/>
  <c r="AI33" i="172"/>
  <c r="AJ33" i="172" s="1"/>
  <c r="AI46" i="172"/>
  <c r="AJ46" i="172" s="1"/>
  <c r="AI37" i="172"/>
  <c r="AJ37" i="172" s="1"/>
  <c r="AI20" i="172"/>
  <c r="AJ20" i="172" s="1"/>
  <c r="W6" i="172"/>
  <c r="W5" i="172" s="1"/>
  <c r="AI42" i="172"/>
  <c r="AJ42" i="172" s="1"/>
  <c r="AI39" i="172"/>
  <c r="AJ39" i="172" s="1"/>
  <c r="AI27" i="172"/>
  <c r="AJ27" i="172" s="1"/>
  <c r="Q108" i="174"/>
  <c r="R108" i="174" s="1"/>
  <c r="AI41" i="172"/>
  <c r="AJ41" i="172" s="1"/>
  <c r="AI16" i="172"/>
  <c r="AJ16" i="172" s="1"/>
  <c r="F4" i="174"/>
  <c r="X6" i="172"/>
  <c r="X5" i="172" s="1"/>
  <c r="Q43" i="174"/>
  <c r="R43" i="174" s="1"/>
  <c r="R33" i="174"/>
  <c r="AI11" i="172"/>
  <c r="AJ11" i="172" s="1"/>
  <c r="R111" i="174"/>
  <c r="AI28" i="172"/>
  <c r="AJ28" i="172" s="1"/>
  <c r="AC5" i="172"/>
  <c r="AI15" i="172"/>
  <c r="AJ15" i="172" s="1"/>
  <c r="AI63" i="172"/>
  <c r="AJ63" i="172" s="1"/>
  <c r="R78" i="174"/>
  <c r="AI21" i="172"/>
  <c r="AJ21" i="172" s="1"/>
  <c r="AI19" i="172"/>
  <c r="AJ19" i="172" s="1"/>
  <c r="AI40" i="172"/>
  <c r="AJ40" i="172" s="1"/>
  <c r="AI34" i="172"/>
  <c r="AJ34" i="172" s="1"/>
  <c r="AI31" i="172"/>
  <c r="AJ31" i="172" s="1"/>
  <c r="Q54" i="174"/>
  <c r="R54" i="174" s="1"/>
  <c r="Z6" i="172"/>
  <c r="Z5" i="172" s="1"/>
  <c r="R154" i="174"/>
  <c r="AI32" i="172"/>
  <c r="AJ32" i="172" s="1"/>
  <c r="AI55" i="172"/>
  <c r="AJ55" i="172" s="1"/>
  <c r="R272" i="174"/>
  <c r="R268" i="174"/>
  <c r="AI53" i="172"/>
  <c r="AJ53" i="172" s="1"/>
  <c r="AI22" i="172"/>
  <c r="AJ22" i="172" s="1"/>
  <c r="AI49" i="172"/>
  <c r="AJ49" i="172" s="1"/>
  <c r="R254" i="174"/>
  <c r="AI36" i="172"/>
  <c r="AJ36" i="172" s="1"/>
  <c r="R175" i="174"/>
  <c r="Q280" i="174"/>
  <c r="R280" i="174" s="1"/>
  <c r="R281" i="174"/>
  <c r="AB6" i="172"/>
  <c r="AB5" i="172" s="1"/>
  <c r="AI10" i="172"/>
  <c r="AJ10" i="172" s="1"/>
  <c r="R23" i="174"/>
  <c r="AI48" i="172"/>
  <c r="AJ48" i="172" s="1"/>
  <c r="AI38" i="172"/>
  <c r="AJ38" i="172" s="1"/>
  <c r="AD6" i="172"/>
  <c r="AD5" i="172" s="1"/>
  <c r="AI45" i="172"/>
  <c r="AJ45" i="172" s="1"/>
  <c r="R217" i="174"/>
  <c r="K4" i="173"/>
  <c r="P5" i="172"/>
  <c r="E5" i="172"/>
  <c r="Q41" i="173"/>
  <c r="R41" i="173" s="1"/>
  <c r="R48" i="173"/>
  <c r="F5" i="172"/>
  <c r="AE6" i="172"/>
  <c r="AE5" i="172" s="1"/>
  <c r="M5" i="172"/>
  <c r="J5" i="172"/>
  <c r="AA6" i="172"/>
  <c r="AA5" i="172" s="1"/>
  <c r="H5" i="172"/>
  <c r="AG6" i="172"/>
  <c r="AG5" i="172" s="1"/>
  <c r="O5" i="172"/>
  <c r="L5" i="172"/>
  <c r="Q30" i="172"/>
  <c r="Q7" i="173"/>
  <c r="R7" i="173" s="1"/>
  <c r="Q7" i="172"/>
  <c r="Q39" i="172"/>
  <c r="R40" i="172"/>
  <c r="Q55" i="173"/>
  <c r="R55" i="173" s="1"/>
  <c r="R32" i="172"/>
  <c r="Q35" i="172"/>
  <c r="R35" i="172" s="1"/>
  <c r="Q29" i="173"/>
  <c r="R29" i="173" s="1"/>
  <c r="Q37" i="172"/>
  <c r="Q52" i="173"/>
  <c r="R52" i="173" s="1"/>
  <c r="Q6" i="174"/>
  <c r="R6" i="174" s="1"/>
  <c r="AI8" i="172"/>
  <c r="AJ8" i="172" s="1"/>
  <c r="Q20" i="172"/>
  <c r="R20" i="172" s="1"/>
  <c r="R21" i="172"/>
  <c r="Q26" i="172"/>
  <c r="R27" i="172"/>
  <c r="Q277" i="174"/>
  <c r="R277" i="174" s="1"/>
  <c r="AI59" i="172" l="1"/>
  <c r="AJ59" i="172" s="1"/>
  <c r="Q107" i="174"/>
  <c r="R107" i="174" s="1"/>
  <c r="Q118" i="174"/>
  <c r="R118" i="174" s="1"/>
  <c r="AI62" i="172"/>
  <c r="AJ62" i="172" s="1"/>
  <c r="AI25" i="172"/>
  <c r="AJ25" i="172" s="1"/>
  <c r="AI30" i="172"/>
  <c r="AJ30" i="172" s="1"/>
  <c r="AI13" i="172"/>
  <c r="AJ13" i="172" s="1"/>
  <c r="AI17" i="172"/>
  <c r="AJ17" i="172" s="1"/>
  <c r="Q40" i="173"/>
  <c r="R40" i="173" s="1"/>
  <c r="R39" i="172"/>
  <c r="Q51" i="173"/>
  <c r="R51" i="173" s="1"/>
  <c r="R37" i="172"/>
  <c r="Q36" i="172"/>
  <c r="Q6" i="173"/>
  <c r="R6" i="173" s="1"/>
  <c r="R7" i="172"/>
  <c r="Q6" i="172"/>
  <c r="AI7" i="172"/>
  <c r="AJ7" i="172" s="1"/>
  <c r="Q5" i="174"/>
  <c r="R5" i="174" s="1"/>
  <c r="Q31" i="172"/>
  <c r="R26" i="172"/>
  <c r="R30" i="172"/>
  <c r="Q29" i="172"/>
  <c r="AI29" i="172" l="1"/>
  <c r="AJ29" i="172" s="1"/>
  <c r="AI24" i="172"/>
  <c r="AJ24" i="172" s="1"/>
  <c r="R6" i="172"/>
  <c r="Q5" i="172"/>
  <c r="R31" i="172"/>
  <c r="Q5" i="173"/>
  <c r="R5" i="173" s="1"/>
  <c r="R29" i="172"/>
  <c r="Q4" i="174"/>
  <c r="R4" i="174" s="1"/>
  <c r="AI6" i="172"/>
  <c r="AJ6" i="172" s="1"/>
  <c r="R36" i="172"/>
  <c r="B37" i="172" l="1"/>
  <c r="R5" i="172"/>
  <c r="B32" i="172"/>
  <c r="B30" i="172"/>
  <c r="AI5" i="172"/>
  <c r="AJ5" i="172" s="1"/>
  <c r="Q4" i="173"/>
  <c r="R4" i="173" s="1"/>
  <c r="B40" i="172"/>
  <c r="B27" i="172"/>
  <c r="B7" i="172"/>
  <c r="T18" i="172" l="1"/>
  <c r="T26" i="172"/>
  <c r="S26" i="172"/>
  <c r="T15" i="172"/>
  <c r="S61" i="172"/>
  <c r="T31" i="172"/>
  <c r="T64" i="172"/>
  <c r="T61" i="172"/>
  <c r="S64" i="172"/>
  <c r="S30" i="172"/>
  <c r="T8" i="172"/>
  <c r="S7" i="172"/>
</calcChain>
</file>

<file path=xl/sharedStrings.xml><?xml version="1.0" encoding="utf-8"?>
<sst xmlns="http://schemas.openxmlformats.org/spreadsheetml/2006/main" count="841" uniqueCount="639">
  <si>
    <t>전담관리자</t>
    <phoneticPr fontId="2" type="noConversion"/>
  </si>
  <si>
    <t>경로식당이용료수입</t>
    <phoneticPr fontId="2" type="noConversion"/>
  </si>
  <si>
    <t>목욕탕이용료수입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</si>
  <si>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</si>
  <si>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</si>
  <si>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</si>
  <si>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사업비</t>
    <phoneticPr fontId="2" type="noConversion"/>
  </si>
  <si>
    <t>계</t>
    <phoneticPr fontId="2" type="noConversion"/>
  </si>
  <si>
    <t>운영비</t>
    <phoneticPr fontId="2" type="noConversion"/>
  </si>
  <si>
    <t>예비비</t>
    <phoneticPr fontId="2" type="noConversion"/>
  </si>
  <si>
    <t>사무비</t>
    <phoneticPr fontId="2" type="noConversion"/>
  </si>
  <si>
    <t>소계</t>
    <phoneticPr fontId="2" type="noConversion"/>
  </si>
  <si>
    <t>급여</t>
    <phoneticPr fontId="2" type="noConversion"/>
  </si>
  <si>
    <t>제수당</t>
    <phoneticPr fontId="2" type="noConversion"/>
  </si>
  <si>
    <t>공공요금</t>
    <phoneticPr fontId="2" type="noConversion"/>
  </si>
  <si>
    <t>차량비</t>
    <phoneticPr fontId="2" type="noConversion"/>
  </si>
  <si>
    <t>재산
조성비</t>
    <phoneticPr fontId="2" type="noConversion"/>
  </si>
  <si>
    <t>시설비</t>
    <phoneticPr fontId="2" type="noConversion"/>
  </si>
  <si>
    <t>자산취득비</t>
    <phoneticPr fontId="2" type="noConversion"/>
  </si>
  <si>
    <t>제세공과금</t>
    <phoneticPr fontId="2" type="noConversion"/>
  </si>
  <si>
    <t>여비</t>
    <phoneticPr fontId="2" type="noConversion"/>
  </si>
  <si>
    <t>이월금</t>
    <phoneticPr fontId="2" type="noConversion"/>
  </si>
  <si>
    <t>잡수입</t>
    <phoneticPr fontId="2" type="noConversion"/>
  </si>
  <si>
    <t>회의비</t>
    <phoneticPr fontId="2" type="noConversion"/>
  </si>
  <si>
    <t>총 계</t>
    <phoneticPr fontId="2" type="noConversion"/>
  </si>
  <si>
    <t>전년도이월금</t>
    <phoneticPr fontId="2" type="noConversion"/>
  </si>
  <si>
    <t>법인전입금</t>
    <phoneticPr fontId="2" type="noConversion"/>
  </si>
  <si>
    <t>사업수입</t>
    <phoneticPr fontId="2" type="noConversion"/>
  </si>
  <si>
    <t>보조금수입</t>
    <phoneticPr fontId="2" type="noConversion"/>
  </si>
  <si>
    <t>후원금수입</t>
    <phoneticPr fontId="2" type="noConversion"/>
  </si>
  <si>
    <t>기타잡수입</t>
    <phoneticPr fontId="2" type="noConversion"/>
  </si>
  <si>
    <t>직책보조비</t>
    <phoneticPr fontId="2" type="noConversion"/>
  </si>
  <si>
    <t>퇴직금 및 퇴직적립금</t>
    <phoneticPr fontId="2" type="noConversion"/>
  </si>
  <si>
    <t>사회보험부담금</t>
    <phoneticPr fontId="2" type="noConversion"/>
  </si>
  <si>
    <t>수용비및수수료</t>
    <phoneticPr fontId="2" type="noConversion"/>
  </si>
  <si>
    <t>시설장비유지비</t>
    <phoneticPr fontId="2" type="noConversion"/>
  </si>
  <si>
    <t>일용잡급</t>
    <phoneticPr fontId="2" type="noConversion"/>
  </si>
  <si>
    <t>호봉</t>
    <phoneticPr fontId="2" type="noConversion"/>
  </si>
  <si>
    <t>업무추진비</t>
    <phoneticPr fontId="2" type="noConversion"/>
  </si>
  <si>
    <t>잡지출</t>
    <phoneticPr fontId="2" type="noConversion"/>
  </si>
  <si>
    <t>비지정후원금</t>
    <phoneticPr fontId="2" type="noConversion"/>
  </si>
  <si>
    <t>(%)</t>
    <phoneticPr fontId="2" type="noConversion"/>
  </si>
  <si>
    <t>인건비</t>
    <phoneticPr fontId="2" type="noConversion"/>
  </si>
  <si>
    <t>기타예금이자수입</t>
    <phoneticPr fontId="2" type="noConversion"/>
  </si>
  <si>
    <t>전입금</t>
    <phoneticPr fontId="2" type="noConversion"/>
  </si>
  <si>
    <t>지정후원금</t>
    <phoneticPr fontId="2" type="noConversion"/>
  </si>
  <si>
    <t>관장</t>
    <phoneticPr fontId="2" type="noConversion"/>
  </si>
  <si>
    <t>평생교육지원사업비</t>
    <phoneticPr fontId="2" type="noConversion"/>
  </si>
  <si>
    <t>급식지원사업비</t>
    <phoneticPr fontId="2" type="noConversion"/>
  </si>
  <si>
    <t>운영관리사업비</t>
    <phoneticPr fontId="2" type="noConversion"/>
  </si>
  <si>
    <t>물탱크 청소</t>
  </si>
  <si>
    <t>개인위생관리사업비</t>
    <phoneticPr fontId="2" type="noConversion"/>
  </si>
  <si>
    <t>사회참여지원사업비</t>
    <phoneticPr fontId="2" type="noConversion"/>
  </si>
  <si>
    <t>지역자원개발사업비</t>
    <phoneticPr fontId="2" type="noConversion"/>
  </si>
  <si>
    <t>지역복지연계사업비</t>
    <phoneticPr fontId="2" type="noConversion"/>
  </si>
  <si>
    <t>연구개발사업비</t>
    <phoneticPr fontId="2" type="noConversion"/>
  </si>
  <si>
    <t>후원금
수입</t>
    <phoneticPr fontId="2" type="noConversion"/>
  </si>
  <si>
    <t>(세입)</t>
    <phoneticPr fontId="2" type="noConversion"/>
  </si>
  <si>
    <t>세 입 예 산 산 출 내 역</t>
    <phoneticPr fontId="2" type="noConversion"/>
  </si>
  <si>
    <t>총  계</t>
    <phoneticPr fontId="2" type="noConversion"/>
  </si>
  <si>
    <t xml:space="preserve">   (단위:천원)</t>
    <phoneticPr fontId="2" type="noConversion"/>
  </si>
  <si>
    <t xml:space="preserve"> 산 출 내 역</t>
    <phoneticPr fontId="2" type="noConversion"/>
  </si>
  <si>
    <t>직</t>
    <phoneticPr fontId="2" type="noConversion"/>
  </si>
  <si>
    <t>퇴직금 및 
퇴직적립금</t>
    <phoneticPr fontId="2" type="noConversion"/>
  </si>
  <si>
    <t>사회보험
부담금</t>
    <phoneticPr fontId="2" type="noConversion"/>
  </si>
  <si>
    <t>수용비
및 수수료</t>
    <phoneticPr fontId="2" type="noConversion"/>
  </si>
  <si>
    <t>신문구독료</t>
    <phoneticPr fontId="2" type="noConversion"/>
  </si>
  <si>
    <t>15,000원x12개월×4종</t>
    <phoneticPr fontId="2" type="noConversion"/>
  </si>
  <si>
    <t>전화요금</t>
    <phoneticPr fontId="2" type="noConversion"/>
  </si>
  <si>
    <t>전기요금</t>
    <phoneticPr fontId="2" type="noConversion"/>
  </si>
  <si>
    <t>케이블요금</t>
    <phoneticPr fontId="2" type="noConversion"/>
  </si>
  <si>
    <t>상하수도료 및 오물수거료</t>
    <phoneticPr fontId="2" type="noConversion"/>
  </si>
  <si>
    <t>대인/대물 화재보험료외</t>
    <phoneticPr fontId="2" type="noConversion"/>
  </si>
  <si>
    <t>자동차보험</t>
    <phoneticPr fontId="2" type="noConversion"/>
  </si>
  <si>
    <t>12인승</t>
    <phoneticPr fontId="2" type="noConversion"/>
  </si>
  <si>
    <t>자동차세</t>
    <phoneticPr fontId="2" type="noConversion"/>
  </si>
  <si>
    <t>환경개선부담금</t>
    <phoneticPr fontId="2" type="noConversion"/>
  </si>
  <si>
    <t>협회비</t>
    <phoneticPr fontId="2" type="noConversion"/>
  </si>
  <si>
    <t>지부협회비</t>
    <phoneticPr fontId="2" type="noConversion"/>
  </si>
  <si>
    <t>성공회협회비납부</t>
    <phoneticPr fontId="2" type="noConversion"/>
  </si>
  <si>
    <t>정읍사회복지협회비</t>
    <phoneticPr fontId="2" type="noConversion"/>
  </si>
  <si>
    <t>주민세</t>
    <phoneticPr fontId="2" type="noConversion"/>
  </si>
  <si>
    <t>55,000원x1회</t>
    <phoneticPr fontId="2" type="noConversion"/>
  </si>
  <si>
    <t>소방회비</t>
    <phoneticPr fontId="2" type="noConversion"/>
  </si>
  <si>
    <t>유류대</t>
    <phoneticPr fontId="2" type="noConversion"/>
  </si>
  <si>
    <t>스타렉스</t>
    <phoneticPr fontId="2" type="noConversion"/>
  </si>
  <si>
    <t>재산조성비</t>
    <phoneticPr fontId="2" type="noConversion"/>
  </si>
  <si>
    <t>시설장비
유지비</t>
    <phoneticPr fontId="2" type="noConversion"/>
  </si>
  <si>
    <t>보안경비료</t>
    <phoneticPr fontId="2" type="noConversion"/>
  </si>
  <si>
    <t>전기안전점검용역비</t>
    <phoneticPr fontId="2" type="noConversion"/>
  </si>
  <si>
    <t>승강기유지관리비</t>
    <phoneticPr fontId="2" type="noConversion"/>
  </si>
  <si>
    <t>88,000원x12개월</t>
    <phoneticPr fontId="2" type="noConversion"/>
  </si>
  <si>
    <t>소방정밀검사</t>
    <phoneticPr fontId="2" type="noConversion"/>
  </si>
  <si>
    <t>강사모집및관리</t>
    <phoneticPr fontId="2" type="noConversion"/>
  </si>
  <si>
    <t>우수강사표창</t>
    <phoneticPr fontId="2" type="noConversion"/>
  </si>
  <si>
    <t>학사관리</t>
    <phoneticPr fontId="2" type="noConversion"/>
  </si>
  <si>
    <t>모범수강생표창</t>
    <phoneticPr fontId="2" type="noConversion"/>
  </si>
  <si>
    <t>취미여가사업</t>
    <phoneticPr fontId="2" type="noConversion"/>
  </si>
  <si>
    <t>태극권</t>
    <phoneticPr fontId="2" type="noConversion"/>
  </si>
  <si>
    <t>풍물교실</t>
    <phoneticPr fontId="2" type="noConversion"/>
  </si>
  <si>
    <t>탁구교실</t>
    <phoneticPr fontId="2" type="noConversion"/>
  </si>
  <si>
    <t>난타교실</t>
    <phoneticPr fontId="2" type="noConversion"/>
  </si>
  <si>
    <t>민요교실</t>
    <phoneticPr fontId="2" type="noConversion"/>
  </si>
  <si>
    <t>노래교실</t>
    <phoneticPr fontId="2" type="noConversion"/>
  </si>
  <si>
    <t>급식지원
사업비</t>
    <phoneticPr fontId="2" type="noConversion"/>
  </si>
  <si>
    <t>경로식당</t>
    <phoneticPr fontId="2" type="noConversion"/>
  </si>
  <si>
    <t>식당운영</t>
    <phoneticPr fontId="2" type="noConversion"/>
  </si>
  <si>
    <t>종사자보수교육</t>
    <phoneticPr fontId="2" type="noConversion"/>
  </si>
  <si>
    <t>목욕탕</t>
    <phoneticPr fontId="2" type="noConversion"/>
  </si>
  <si>
    <t>자원봉사</t>
    <phoneticPr fontId="2" type="noConversion"/>
  </si>
  <si>
    <t>우수자원
봉사자시상</t>
    <phoneticPr fontId="2" type="noConversion"/>
  </si>
  <si>
    <t>직원교육</t>
    <phoneticPr fontId="2" type="noConversion"/>
  </si>
  <si>
    <t>후원</t>
    <phoneticPr fontId="2" type="noConversion"/>
  </si>
  <si>
    <t>노인사랑기업</t>
    <phoneticPr fontId="2" type="noConversion"/>
  </si>
  <si>
    <t>송년감사의밤</t>
    <phoneticPr fontId="2" type="noConversion"/>
  </si>
  <si>
    <t>기획사업</t>
    <phoneticPr fontId="2" type="noConversion"/>
  </si>
  <si>
    <t>어버이날</t>
    <phoneticPr fontId="2" type="noConversion"/>
  </si>
  <si>
    <t>운영관리
사업비</t>
    <phoneticPr fontId="2" type="noConversion"/>
  </si>
  <si>
    <t>인사관리</t>
    <phoneticPr fontId="2" type="noConversion"/>
  </si>
  <si>
    <t>연구개발
사업비</t>
    <phoneticPr fontId="2" type="noConversion"/>
  </si>
  <si>
    <t>소식지발간</t>
    <phoneticPr fontId="2" type="noConversion"/>
  </si>
  <si>
    <t>셔틀버스</t>
    <phoneticPr fontId="2" type="noConversion"/>
  </si>
  <si>
    <t>100,000원x12개월</t>
    <phoneticPr fontId="2" type="noConversion"/>
  </si>
  <si>
    <t>200,000원x12개월</t>
    <phoneticPr fontId="2" type="noConversion"/>
  </si>
  <si>
    <t>220,000원x12개월</t>
    <phoneticPr fontId="2" type="noConversion"/>
  </si>
  <si>
    <t>44,000원x12개월</t>
    <phoneticPr fontId="2" type="noConversion"/>
  </si>
  <si>
    <t>(단위 : 천원)</t>
    <phoneticPr fontId="2" type="noConversion"/>
  </si>
  <si>
    <t>7,700원x2대×12개월</t>
    <phoneticPr fontId="2" type="noConversion"/>
  </si>
  <si>
    <t>48,000원x1회</t>
    <phoneticPr fontId="2" type="noConversion"/>
  </si>
  <si>
    <t>홍보사업</t>
    <phoneticPr fontId="2" type="noConversion"/>
  </si>
  <si>
    <t>70,000원×12개월</t>
    <phoneticPr fontId="2" type="noConversion"/>
  </si>
  <si>
    <t>전년도이월금(후원금)</t>
    <phoneticPr fontId="2" type="noConversion"/>
  </si>
  <si>
    <t>시군구보조금 소계</t>
    <phoneticPr fontId="2" type="noConversion"/>
  </si>
  <si>
    <t>소식지발송비</t>
    <phoneticPr fontId="2" type="noConversion"/>
  </si>
  <si>
    <t>후원자 영수증발급</t>
    <phoneticPr fontId="2" type="noConversion"/>
  </si>
  <si>
    <t>CMS 사용료</t>
    <phoneticPr fontId="2" type="noConversion"/>
  </si>
  <si>
    <t>CMS 수수료</t>
    <phoneticPr fontId="2" type="noConversion"/>
  </si>
  <si>
    <t>송년감사의날</t>
    <phoneticPr fontId="2" type="noConversion"/>
  </si>
  <si>
    <t>승강기정기검사</t>
    <phoneticPr fontId="2" type="noConversion"/>
  </si>
  <si>
    <t>발간평가회</t>
    <phoneticPr fontId="2" type="noConversion"/>
  </si>
  <si>
    <t>홍보사업비</t>
    <phoneticPr fontId="2" type="noConversion"/>
  </si>
  <si>
    <t>영양사 50,000원×1회</t>
    <phoneticPr fontId="2" type="noConversion"/>
  </si>
  <si>
    <t>조리사 50,000원×1회</t>
    <phoneticPr fontId="2" type="noConversion"/>
  </si>
  <si>
    <t>커플댄스</t>
    <phoneticPr fontId="2" type="noConversion"/>
  </si>
  <si>
    <t>현판제작비 50,000원x2개</t>
    <phoneticPr fontId="2" type="noConversion"/>
  </si>
  <si>
    <t>재정보증보험료</t>
    <phoneticPr fontId="2" type="noConversion"/>
  </si>
  <si>
    <t>상해보험</t>
    <phoneticPr fontId="2" type="noConversion"/>
  </si>
  <si>
    <t>교육위원회회의</t>
    <phoneticPr fontId="2" type="noConversion"/>
  </si>
  <si>
    <t>50,000원×4회</t>
    <phoneticPr fontId="2" type="noConversion"/>
  </si>
  <si>
    <t>300,000원×1회</t>
    <phoneticPr fontId="2" type="noConversion"/>
  </si>
  <si>
    <t>100,000원×1회</t>
    <phoneticPr fontId="2" type="noConversion"/>
  </si>
  <si>
    <t>예비비 및 기타</t>
    <phoneticPr fontId="2" type="noConversion"/>
  </si>
  <si>
    <t>반환금</t>
    <phoneticPr fontId="2" type="noConversion"/>
  </si>
  <si>
    <t>운영비보조금</t>
    <phoneticPr fontId="2" type="noConversion"/>
  </si>
  <si>
    <t>종사자특별수당보조금</t>
    <phoneticPr fontId="2" type="noConversion"/>
  </si>
  <si>
    <t>예비비및
반환금</t>
    <phoneticPr fontId="2" type="noConversion"/>
  </si>
  <si>
    <t>단체급식소면허세</t>
    <phoneticPr fontId="2" type="noConversion"/>
  </si>
  <si>
    <t>과장</t>
    <phoneticPr fontId="2" type="noConversion"/>
  </si>
  <si>
    <t>200,000원×12개월</t>
    <phoneticPr fontId="2" type="noConversion"/>
  </si>
  <si>
    <t>화물차량</t>
    <phoneticPr fontId="2" type="noConversion"/>
  </si>
  <si>
    <t>120,000원x2회</t>
    <phoneticPr fontId="2" type="noConversion"/>
  </si>
  <si>
    <t>150,000원x1회</t>
    <phoneticPr fontId="2" type="noConversion"/>
  </si>
  <si>
    <t>기자단교육</t>
    <phoneticPr fontId="2" type="noConversion"/>
  </si>
  <si>
    <t>기자단연수</t>
    <phoneticPr fontId="2" type="noConversion"/>
  </si>
  <si>
    <t>가스요금  500,000원x12개월</t>
    <phoneticPr fontId="2" type="noConversion"/>
  </si>
  <si>
    <t>서예교실</t>
    <phoneticPr fontId="2" type="noConversion"/>
  </si>
  <si>
    <t>축제전시회</t>
    <phoneticPr fontId="2" type="noConversion"/>
  </si>
  <si>
    <t>예비비
및반환금</t>
    <phoneticPr fontId="2" type="noConversion"/>
  </si>
  <si>
    <t>소모품비</t>
    <phoneticPr fontId="2" type="noConversion"/>
  </si>
  <si>
    <t>팀장</t>
    <phoneticPr fontId="2" type="noConversion"/>
  </si>
  <si>
    <t xml:space="preserve"> 사무용품비</t>
    <phoneticPr fontId="2" type="noConversion"/>
  </si>
  <si>
    <t>사무기기임대료</t>
    <phoneticPr fontId="2" type="noConversion"/>
  </si>
  <si>
    <t>자판기재료비</t>
    <phoneticPr fontId="2" type="noConversion"/>
  </si>
  <si>
    <t>노래방업데이트</t>
    <phoneticPr fontId="2" type="noConversion"/>
  </si>
  <si>
    <t>차량정비유지비 및 검사비</t>
    <phoneticPr fontId="2" type="noConversion"/>
  </si>
  <si>
    <t>홍보
사업비</t>
    <phoneticPr fontId="2" type="noConversion"/>
  </si>
  <si>
    <t>2016년도</t>
    <phoneticPr fontId="2" type="noConversion"/>
  </si>
  <si>
    <t>2017년도</t>
    <phoneticPr fontId="2" type="noConversion"/>
  </si>
  <si>
    <t>증감</t>
    <phoneticPr fontId="2" type="noConversion"/>
  </si>
  <si>
    <t>2016년</t>
    <phoneticPr fontId="2" type="noConversion"/>
  </si>
  <si>
    <t>2017년</t>
    <phoneticPr fontId="2" type="noConversion"/>
  </si>
  <si>
    <t>120,000원x1회</t>
    <phoneticPr fontId="2" type="noConversion"/>
  </si>
  <si>
    <t>130,000원×1회</t>
    <phoneticPr fontId="2" type="noConversion"/>
  </si>
  <si>
    <t>요가</t>
    <phoneticPr fontId="2" type="noConversion"/>
  </si>
  <si>
    <t>간담회</t>
    <phoneticPr fontId="2" type="noConversion"/>
  </si>
  <si>
    <t>1차추경</t>
    <phoneticPr fontId="2" type="noConversion"/>
  </si>
  <si>
    <t>132,000원×12개월</t>
    <phoneticPr fontId="2" type="noConversion"/>
  </si>
  <si>
    <t>300,000원×1식</t>
    <phoneticPr fontId="2" type="noConversion"/>
  </si>
  <si>
    <t>내부워크샵</t>
    <phoneticPr fontId="2" type="noConversion"/>
  </si>
  <si>
    <t>성공회연합워크샵</t>
    <phoneticPr fontId="2" type="noConversion"/>
  </si>
  <si>
    <t>영양사</t>
    <phoneticPr fontId="2" type="noConversion"/>
  </si>
  <si>
    <t>운전기사</t>
    <phoneticPr fontId="2" type="noConversion"/>
  </si>
  <si>
    <t>조리사</t>
    <phoneticPr fontId="2" type="noConversion"/>
  </si>
  <si>
    <t>효도휴가비</t>
    <phoneticPr fontId="2" type="noConversion"/>
  </si>
  <si>
    <t>운동처방사</t>
    <phoneticPr fontId="2" type="noConversion"/>
  </si>
  <si>
    <t>종사자특별수당</t>
    <phoneticPr fontId="2" type="noConversion"/>
  </si>
  <si>
    <t>가족수당</t>
    <phoneticPr fontId="2" type="noConversion"/>
  </si>
  <si>
    <t>건강보험</t>
    <phoneticPr fontId="2" type="noConversion"/>
  </si>
  <si>
    <t>장기요양보험료</t>
    <phoneticPr fontId="2" type="noConversion"/>
  </si>
  <si>
    <t>국민연금</t>
    <phoneticPr fontId="2" type="noConversion"/>
  </si>
  <si>
    <t>고용보험</t>
    <phoneticPr fontId="2" type="noConversion"/>
  </si>
  <si>
    <t>산재보험</t>
    <phoneticPr fontId="2" type="noConversion"/>
  </si>
  <si>
    <t>정읍시사회복지협회임원회비</t>
    <phoneticPr fontId="2" type="noConversion"/>
  </si>
  <si>
    <t>기관운영비</t>
    <phoneticPr fontId="2" type="noConversion"/>
  </si>
  <si>
    <t>기타운영비</t>
    <phoneticPr fontId="2" type="noConversion"/>
  </si>
  <si>
    <t>2018년</t>
    <phoneticPr fontId="2" type="noConversion"/>
  </si>
  <si>
    <t>선임사회복지사</t>
    <phoneticPr fontId="2" type="noConversion"/>
  </si>
  <si>
    <t>위험수당</t>
    <phoneticPr fontId="2" type="noConversion"/>
  </si>
  <si>
    <t>시설관리</t>
    <phoneticPr fontId="2" type="noConversion"/>
  </si>
  <si>
    <t>150,000원×12개월</t>
    <phoneticPr fontId="2" type="noConversion"/>
  </si>
  <si>
    <t>100,000원×12회</t>
    <phoneticPr fontId="2" type="noConversion"/>
  </si>
  <si>
    <t>20,000,000원×1회</t>
    <phoneticPr fontId="2" type="noConversion"/>
  </si>
  <si>
    <t>시급제</t>
    <phoneticPr fontId="2" type="noConversion"/>
  </si>
  <si>
    <t>100,000원×3명×12개월</t>
    <phoneticPr fontId="2" type="noConversion"/>
  </si>
  <si>
    <t>200,000원×1회</t>
    <phoneticPr fontId="2" type="noConversion"/>
  </si>
  <si>
    <t>국장</t>
    <phoneticPr fontId="2" type="noConversion"/>
  </si>
  <si>
    <t>상품,상패 100,000원×2명</t>
    <phoneticPr fontId="2" type="noConversion"/>
  </si>
  <si>
    <t>상패   100,000원x1명</t>
    <phoneticPr fontId="2" type="noConversion"/>
  </si>
  <si>
    <t>사회복지사</t>
    <phoneticPr fontId="2" type="noConversion"/>
  </si>
  <si>
    <t>사회보험</t>
    <phoneticPr fontId="2" type="noConversion"/>
  </si>
  <si>
    <t>동아리운영</t>
    <phoneticPr fontId="2" type="noConversion"/>
  </si>
  <si>
    <t>우승자상품</t>
    <phoneticPr fontId="2" type="noConversion"/>
  </si>
  <si>
    <t>정서생활지원사업비</t>
    <phoneticPr fontId="2" type="noConversion"/>
  </si>
  <si>
    <t>외부전문교육</t>
    <phoneticPr fontId="2" type="noConversion"/>
  </si>
  <si>
    <t>교육비</t>
    <phoneticPr fontId="2" type="noConversion"/>
  </si>
  <si>
    <t>트로피100,000원×3명</t>
    <phoneticPr fontId="2" type="noConversion"/>
  </si>
  <si>
    <t>반장간담회</t>
    <phoneticPr fontId="2" type="noConversion"/>
  </si>
  <si>
    <t>100,000원×2회</t>
    <phoneticPr fontId="2" type="noConversion"/>
  </si>
  <si>
    <t>신규회원관리</t>
    <phoneticPr fontId="2" type="noConversion"/>
  </si>
  <si>
    <t>관리품</t>
    <phoneticPr fontId="2" type="noConversion"/>
  </si>
  <si>
    <t>전년도후원금이월금</t>
    <phoneticPr fontId="2" type="noConversion"/>
  </si>
  <si>
    <t>조리보조원</t>
    <phoneticPr fontId="2" type="noConversion"/>
  </si>
  <si>
    <t>차량운전일용직</t>
    <phoneticPr fontId="2" type="noConversion"/>
  </si>
  <si>
    <t>시설수리비</t>
    <phoneticPr fontId="2" type="noConversion"/>
  </si>
  <si>
    <t>사회복무요원상해보험</t>
    <phoneticPr fontId="2" type="noConversion"/>
  </si>
  <si>
    <t>출장,교육,세미나 여비</t>
    <phoneticPr fontId="2" type="noConversion"/>
  </si>
  <si>
    <t>행사비 2,000,000원×1식</t>
    <phoneticPr fontId="2" type="noConversion"/>
  </si>
  <si>
    <t>대청소</t>
    <phoneticPr fontId="2" type="noConversion"/>
  </si>
  <si>
    <t>600,000원×1회</t>
    <phoneticPr fontId="2" type="noConversion"/>
  </si>
  <si>
    <t>이동복지관</t>
    <phoneticPr fontId="2" type="noConversion"/>
  </si>
  <si>
    <t>1,000,000원x1회</t>
    <phoneticPr fontId="2" type="noConversion"/>
  </si>
  <si>
    <t>5명×150,000원 ×12월</t>
    <phoneticPr fontId="2" type="noConversion"/>
  </si>
  <si>
    <t>3명×120,000원×12월</t>
    <phoneticPr fontId="2" type="noConversion"/>
  </si>
  <si>
    <t>3,000,000원x1회</t>
    <phoneticPr fontId="2" type="noConversion"/>
  </si>
  <si>
    <t>20,000원×5명</t>
    <phoneticPr fontId="2" type="noConversion"/>
  </si>
  <si>
    <t>직원</t>
    <phoneticPr fontId="2" type="noConversion"/>
  </si>
  <si>
    <t>시설관리위원회</t>
    <phoneticPr fontId="2" type="noConversion"/>
  </si>
  <si>
    <t>스파크</t>
    <phoneticPr fontId="2" type="noConversion"/>
  </si>
  <si>
    <t>200,000원*12개월</t>
    <phoneticPr fontId="2" type="noConversion"/>
  </si>
  <si>
    <t>봉고</t>
    <phoneticPr fontId="2" type="noConversion"/>
  </si>
  <si>
    <t>모닝</t>
    <phoneticPr fontId="2" type="noConversion"/>
  </si>
  <si>
    <t>1,200,000원x1회</t>
    <phoneticPr fontId="2" type="noConversion"/>
  </si>
  <si>
    <t>실습평가</t>
  </si>
  <si>
    <t>100,000원×4회</t>
  </si>
  <si>
    <t>평가회</t>
  </si>
  <si>
    <t>기능운동</t>
    <phoneticPr fontId="2" type="noConversion"/>
  </si>
  <si>
    <t>김장비  4,000,000원x1회</t>
    <phoneticPr fontId="2" type="noConversion"/>
  </si>
  <si>
    <t>급식위원회</t>
  </si>
  <si>
    <t>상품 100,000원×4명</t>
    <phoneticPr fontId="2" type="noConversion"/>
  </si>
  <si>
    <t>색소폰교실</t>
    <phoneticPr fontId="2" type="noConversion"/>
  </si>
  <si>
    <t>홈페이지개설운영</t>
    <phoneticPr fontId="2" type="noConversion"/>
  </si>
  <si>
    <t>유지보수 440,000원×1회</t>
    <phoneticPr fontId="2" type="noConversion"/>
  </si>
  <si>
    <t>기자단회의</t>
    <phoneticPr fontId="2" type="noConversion"/>
  </si>
  <si>
    <t>운영위원회운영</t>
    <phoneticPr fontId="2" type="noConversion"/>
  </si>
  <si>
    <t>분기별회의비</t>
    <phoneticPr fontId="2" type="noConversion"/>
  </si>
  <si>
    <t>120,000원×4회</t>
    <phoneticPr fontId="2" type="noConversion"/>
  </si>
  <si>
    <t>소양교육</t>
    <phoneticPr fontId="2" type="noConversion"/>
  </si>
  <si>
    <t>기능회복지원사업비</t>
    <phoneticPr fontId="2" type="noConversion"/>
  </si>
  <si>
    <t>우수직원 표창100,000원×1명</t>
    <phoneticPr fontId="2" type="noConversion"/>
  </si>
  <si>
    <t>오카리나</t>
    <phoneticPr fontId="2" type="noConversion"/>
  </si>
  <si>
    <t>본예산</t>
    <phoneticPr fontId="2" type="noConversion"/>
  </si>
  <si>
    <t>소모용품구입</t>
    <phoneticPr fontId="2" type="noConversion"/>
  </si>
  <si>
    <t>기능회복
지원사업비</t>
    <phoneticPr fontId="2" type="noConversion"/>
  </si>
  <si>
    <t>퇴직연금관리수수료</t>
    <phoneticPr fontId="2" type="noConversion"/>
  </si>
  <si>
    <t>754,000원×1식</t>
    <phoneticPr fontId="2" type="noConversion"/>
  </si>
  <si>
    <t>비품, 시설물 보수</t>
    <phoneticPr fontId="2" type="noConversion"/>
  </si>
  <si>
    <t>내부교육 200,000원×6회</t>
    <phoneticPr fontId="2" type="noConversion"/>
  </si>
  <si>
    <t>300,000원x12개월</t>
    <phoneticPr fontId="2" type="noConversion"/>
  </si>
  <si>
    <t>한국무용</t>
    <phoneticPr fontId="2" type="noConversion"/>
  </si>
  <si>
    <t>우크렐라</t>
    <phoneticPr fontId="2" type="noConversion"/>
  </si>
  <si>
    <t>정수기렌탈비</t>
    <phoneticPr fontId="2" type="noConversion"/>
  </si>
  <si>
    <t>1,500,000원×2회</t>
    <phoneticPr fontId="2" type="noConversion"/>
  </si>
  <si>
    <t>2019년</t>
    <phoneticPr fontId="2" type="noConversion"/>
  </si>
  <si>
    <t>2020년</t>
    <phoneticPr fontId="2" type="noConversion"/>
  </si>
  <si>
    <t>10,000원×4시간×25일×12개월</t>
    <phoneticPr fontId="2" type="noConversion"/>
  </si>
  <si>
    <t>응급안전알리미</t>
    <phoneticPr fontId="2" type="noConversion"/>
  </si>
  <si>
    <t>시간제조리보조원</t>
    <phoneticPr fontId="2" type="noConversion"/>
  </si>
  <si>
    <t>10,000원×4시간×25일×1개월</t>
    <phoneticPr fontId="2" type="noConversion"/>
  </si>
  <si>
    <t>버스</t>
    <phoneticPr fontId="2" type="noConversion"/>
  </si>
  <si>
    <t>300,000원×1명×2회</t>
    <phoneticPr fontId="2" type="noConversion"/>
  </si>
  <si>
    <t>500,000원x1회</t>
    <phoneticPr fontId="2" type="noConversion"/>
  </si>
  <si>
    <t>120,000원x12개월</t>
    <phoneticPr fontId="2" type="noConversion"/>
  </si>
  <si>
    <t>40,000원×3대×12개월</t>
    <phoneticPr fontId="2" type="noConversion"/>
  </si>
  <si>
    <t>복지관정기소독</t>
    <phoneticPr fontId="2" type="noConversion"/>
  </si>
  <si>
    <t>260,000원x2회</t>
    <phoneticPr fontId="2" type="noConversion"/>
  </si>
  <si>
    <t>800,000원×1회</t>
    <phoneticPr fontId="2" type="noConversion"/>
  </si>
  <si>
    <t>발간비1,100,000원×4회</t>
    <phoneticPr fontId="2" type="noConversion"/>
  </si>
  <si>
    <t>꽃다발30,000원×9명</t>
    <phoneticPr fontId="2" type="noConversion"/>
  </si>
  <si>
    <t>발송비 400원x500명</t>
    <phoneticPr fontId="2" type="noConversion"/>
  </si>
  <si>
    <t>발송비 400,000원×4회</t>
    <phoneticPr fontId="2" type="noConversion"/>
  </si>
  <si>
    <t>400,000원×4회</t>
    <phoneticPr fontId="2" type="noConversion"/>
  </si>
  <si>
    <t>정수기관리비</t>
    <phoneticPr fontId="2" type="noConversion"/>
  </si>
  <si>
    <t>83,000원×4회</t>
    <phoneticPr fontId="2" type="noConversion"/>
  </si>
  <si>
    <t>800,000원x12개월</t>
    <phoneticPr fontId="2" type="noConversion"/>
  </si>
  <si>
    <t>자동판매기등록면허세</t>
    <phoneticPr fontId="2" type="noConversion"/>
  </si>
  <si>
    <t>10,000원×1식</t>
    <phoneticPr fontId="2" type="noConversion"/>
  </si>
  <si>
    <t>1,000,000원×1회</t>
    <phoneticPr fontId="2" type="noConversion"/>
  </si>
  <si>
    <t>복지관사업안내용</t>
    <phoneticPr fontId="2" type="noConversion"/>
  </si>
  <si>
    <t>관리비 500,000원×1식</t>
    <phoneticPr fontId="2" type="noConversion"/>
  </si>
  <si>
    <t>400,000원x12개월</t>
    <phoneticPr fontId="2" type="noConversion"/>
  </si>
  <si>
    <t>외부교육 50,000원×12개월</t>
    <phoneticPr fontId="2" type="noConversion"/>
  </si>
  <si>
    <t>2021년</t>
    <phoneticPr fontId="2" type="noConversion"/>
  </si>
  <si>
    <t>4,592,900원×12개월</t>
    <phoneticPr fontId="2" type="noConversion"/>
  </si>
  <si>
    <t>3,808,900원×11개월</t>
    <phoneticPr fontId="2" type="noConversion"/>
  </si>
  <si>
    <t>3,863,200원×1개월</t>
    <phoneticPr fontId="2" type="noConversion"/>
  </si>
  <si>
    <t>3,556,000원×12개월</t>
    <phoneticPr fontId="2" type="noConversion"/>
  </si>
  <si>
    <t>2,580,100원×1개월</t>
    <phoneticPr fontId="2" type="noConversion"/>
  </si>
  <si>
    <t>2,681,500원×11개월</t>
    <phoneticPr fontId="2" type="noConversion"/>
  </si>
  <si>
    <t>2,634,000원×9개월</t>
    <phoneticPr fontId="2" type="noConversion"/>
  </si>
  <si>
    <t>2,702,500원×3개월</t>
    <phoneticPr fontId="2" type="noConversion"/>
  </si>
  <si>
    <t>2,410,600원×3개월</t>
    <phoneticPr fontId="2" type="noConversion"/>
  </si>
  <si>
    <t>2,490,200원×9개월</t>
    <phoneticPr fontId="2" type="noConversion"/>
  </si>
  <si>
    <t>2,397,500원×4개월</t>
    <phoneticPr fontId="2" type="noConversion"/>
  </si>
  <si>
    <t>2,482,400원×8개월</t>
    <phoneticPr fontId="2" type="noConversion"/>
  </si>
  <si>
    <t>1,094,000원×1명×2회</t>
    <phoneticPr fontId="2" type="noConversion"/>
  </si>
  <si>
    <t>92,000원×1명×2회</t>
    <phoneticPr fontId="2" type="noConversion"/>
  </si>
  <si>
    <t>300,000원×12개월</t>
    <phoneticPr fontId="2" type="noConversion"/>
  </si>
  <si>
    <t>500,000원x12개월</t>
    <phoneticPr fontId="2" type="noConversion"/>
  </si>
  <si>
    <t>(700,000원×8개월)+(200,000원×4개월)</t>
    <phoneticPr fontId="2" type="noConversion"/>
  </si>
  <si>
    <t>해외연수 2,000,000원×1식</t>
    <phoneticPr fontId="2" type="noConversion"/>
  </si>
  <si>
    <t>150,000원x8개월</t>
    <phoneticPr fontId="2" type="noConversion"/>
  </si>
  <si>
    <t xml:space="preserve">2021년도 </t>
    <phoneticPr fontId="2" type="noConversion"/>
  </si>
  <si>
    <t>2020년3차</t>
    <phoneticPr fontId="2" type="noConversion"/>
  </si>
  <si>
    <t>2,221,900원×8개월</t>
    <phoneticPr fontId="2" type="noConversion"/>
  </si>
  <si>
    <t>2,317,000원×4개월</t>
    <phoneticPr fontId="2" type="noConversion"/>
  </si>
  <si>
    <t>14,680,500원×2회</t>
    <phoneticPr fontId="2" type="noConversion"/>
  </si>
  <si>
    <t>495,700원×5명×2회</t>
    <phoneticPr fontId="2" type="noConversion"/>
  </si>
  <si>
    <t>1,126,200원×1명×1회</t>
    <phoneticPr fontId="2" type="noConversion"/>
  </si>
  <si>
    <t>680,000원×12개월</t>
    <phoneticPr fontId="2" type="noConversion"/>
  </si>
  <si>
    <t>1명×100,000원×12월</t>
    <phoneticPr fontId="2" type="noConversion"/>
  </si>
  <si>
    <t>퇴직연금</t>
    <phoneticPr fontId="2" type="noConversion"/>
  </si>
  <si>
    <t>2,398,500원×12개월</t>
    <phoneticPr fontId="2" type="noConversion"/>
  </si>
  <si>
    <t>(8,330원×12개월)+413,000원</t>
    <phoneticPr fontId="2" type="noConversion"/>
  </si>
  <si>
    <t>94,000원×1명×1회</t>
    <phoneticPr fontId="2" type="noConversion"/>
  </si>
  <si>
    <t>1,295,500원×12개월</t>
    <phoneticPr fontId="2" type="noConversion"/>
  </si>
  <si>
    <t>963,000원×12개월</t>
    <phoneticPr fontId="2" type="noConversion"/>
  </si>
  <si>
    <t>99,000원×12개월</t>
    <phoneticPr fontId="2" type="noConversion"/>
  </si>
  <si>
    <t>342,000원×12개월</t>
    <phoneticPr fontId="2" type="noConversion"/>
  </si>
  <si>
    <t>187,000원×12개월</t>
    <phoneticPr fontId="2" type="noConversion"/>
  </si>
  <si>
    <t>149,000원×12개월</t>
    <phoneticPr fontId="2" type="noConversion"/>
  </si>
  <si>
    <t>기타수당</t>
    <phoneticPr fontId="2" type="noConversion"/>
  </si>
  <si>
    <t>20,000원×1식</t>
    <phoneticPr fontId="2" type="noConversion"/>
  </si>
  <si>
    <t>800,000원x1회</t>
    <phoneticPr fontId="2" type="noConversion"/>
  </si>
  <si>
    <t>1,400,000원x1회</t>
    <phoneticPr fontId="2" type="noConversion"/>
  </si>
  <si>
    <t>현수막 50,000원×20회</t>
    <phoneticPr fontId="2" type="noConversion"/>
  </si>
  <si>
    <t>3,000,000원×12개월</t>
    <phoneticPr fontId="2" type="noConversion"/>
  </si>
  <si>
    <t>800,000원*11개월</t>
    <phoneticPr fontId="2" type="noConversion"/>
  </si>
  <si>
    <t>25,000원×1대×12개월</t>
    <phoneticPr fontId="2" type="noConversion"/>
  </si>
  <si>
    <t>에어컨청소</t>
    <phoneticPr fontId="2" type="noConversion"/>
  </si>
  <si>
    <t>400,000원x1회</t>
    <phoneticPr fontId="2" type="noConversion"/>
  </si>
  <si>
    <t>90,000원×6회</t>
    <phoneticPr fontId="2" type="noConversion"/>
  </si>
  <si>
    <t>500,000원x6개소</t>
    <phoneticPr fontId="2" type="noConversion"/>
  </si>
  <si>
    <t>강사간담회</t>
  </si>
  <si>
    <t>교육비</t>
  </si>
  <si>
    <t>150,000원×2회</t>
  </si>
  <si>
    <t>강사역량강화</t>
    <phoneticPr fontId="2" type="noConversion"/>
  </si>
  <si>
    <t>150,000원×4회</t>
    <phoneticPr fontId="2" type="noConversion"/>
  </si>
  <si>
    <t>500,000원×4회</t>
    <phoneticPr fontId="2" type="noConversion"/>
  </si>
  <si>
    <t>오리엔테이션</t>
    <phoneticPr fontId="2" type="noConversion"/>
  </si>
  <si>
    <t>사군자교실</t>
    <phoneticPr fontId="2" type="noConversion"/>
  </si>
  <si>
    <t>치매예방</t>
    <phoneticPr fontId="2" type="noConversion"/>
  </si>
  <si>
    <t>6,000,000원×1식</t>
    <phoneticPr fontId="2" type="noConversion"/>
  </si>
  <si>
    <t>반려식물나눔</t>
    <phoneticPr fontId="2" type="noConversion"/>
  </si>
  <si>
    <t>재료비</t>
    <phoneticPr fontId="2" type="noConversion"/>
  </si>
  <si>
    <t>진행비</t>
    <phoneticPr fontId="2" type="noConversion"/>
  </si>
  <si>
    <t>주부식비  1,600원x65명x242일</t>
    <phoneticPr fontId="2" type="noConversion"/>
  </si>
  <si>
    <t>운영비 250,000원×12개월</t>
    <phoneticPr fontId="2" type="noConversion"/>
  </si>
  <si>
    <t>수리비 1,000,000원×1회</t>
    <phoneticPr fontId="2" type="noConversion"/>
  </si>
  <si>
    <t>기념품,광고비</t>
    <phoneticPr fontId="2" type="noConversion"/>
  </si>
  <si>
    <t>점심 2,500,000원×1식</t>
    <phoneticPr fontId="2" type="noConversion"/>
  </si>
  <si>
    <t>2,500,000원×1식</t>
    <phoneticPr fontId="2" type="noConversion"/>
  </si>
  <si>
    <t>방역용품비</t>
    <phoneticPr fontId="2" type="noConversion"/>
  </si>
  <si>
    <t>반신욕기</t>
    <phoneticPr fontId="2" type="noConversion"/>
  </si>
  <si>
    <t>700,000원×1대</t>
    <phoneticPr fontId="2" type="noConversion"/>
  </si>
  <si>
    <t>강사비 37,000원x2시간×2회x40주</t>
    <phoneticPr fontId="2" type="noConversion"/>
  </si>
  <si>
    <t>교통비   7,000원x2회x40주</t>
    <phoneticPr fontId="2" type="noConversion"/>
  </si>
  <si>
    <t>교통비  7,000원x1회x40주</t>
    <phoneticPr fontId="2" type="noConversion"/>
  </si>
  <si>
    <t>강사비 24,000원x2시간×1회x40주</t>
    <phoneticPr fontId="2" type="noConversion"/>
  </si>
  <si>
    <t>강사비  24,000원x2시간×2회x40주</t>
    <phoneticPr fontId="2" type="noConversion"/>
  </si>
  <si>
    <t>교통비    7,000원x2회x40주</t>
    <phoneticPr fontId="2" type="noConversion"/>
  </si>
  <si>
    <t>강사비 30,000원x2시간×2회x40주</t>
    <phoneticPr fontId="2" type="noConversion"/>
  </si>
  <si>
    <t>강사비  30,000원x2시간×2회x40주</t>
    <phoneticPr fontId="2" type="noConversion"/>
  </si>
  <si>
    <t>강사비  24,000원x2시간×1회x40주</t>
    <phoneticPr fontId="2" type="noConversion"/>
  </si>
  <si>
    <t>교통비    7,000원x1회x40주</t>
    <phoneticPr fontId="2" type="noConversion"/>
  </si>
  <si>
    <t>강사비 38,000원x2시간x40주</t>
    <phoneticPr fontId="2" type="noConversion"/>
  </si>
  <si>
    <t>교통비   7,000원x1회x40주</t>
    <phoneticPr fontId="2" type="noConversion"/>
  </si>
  <si>
    <t>강사비 24,000원x2시간x2회×40주</t>
    <phoneticPr fontId="2" type="noConversion"/>
  </si>
  <si>
    <t>강사비 24,000원x2시간×2회x40주</t>
    <phoneticPr fontId="2" type="noConversion"/>
  </si>
  <si>
    <t>강사비 30,000원x2시간x40주</t>
    <phoneticPr fontId="2" type="noConversion"/>
  </si>
  <si>
    <t>700,000원×1식</t>
    <phoneticPr fontId="2" type="noConversion"/>
  </si>
  <si>
    <t>건강체조동영상</t>
    <phoneticPr fontId="2" type="noConversion"/>
  </si>
  <si>
    <t>75,000원×4회</t>
    <phoneticPr fontId="2" type="noConversion"/>
  </si>
  <si>
    <t>된장담그기</t>
  </si>
  <si>
    <t>500,000원x1회</t>
  </si>
  <si>
    <t>대체식가방</t>
    <phoneticPr fontId="2" type="noConversion"/>
  </si>
  <si>
    <t>1차</t>
    <phoneticPr fontId="2" type="noConversion"/>
  </si>
  <si>
    <t>2차</t>
    <phoneticPr fontId="2" type="noConversion"/>
  </si>
  <si>
    <t>2016</t>
    <phoneticPr fontId="2" type="noConversion"/>
  </si>
  <si>
    <t>2017</t>
    <phoneticPr fontId="2" type="noConversion"/>
  </si>
  <si>
    <t>2018</t>
  </si>
  <si>
    <t>2019</t>
    <phoneticPr fontId="2" type="noConversion"/>
  </si>
  <si>
    <t>2020</t>
    <phoneticPr fontId="2" type="noConversion"/>
  </si>
  <si>
    <t>노인연계프로그램보조금</t>
  </si>
  <si>
    <t>무료중식사업보조금</t>
  </si>
  <si>
    <t>밑반찬배달사업보조금</t>
  </si>
  <si>
    <t>노인사회활동지원사업
보조금</t>
  </si>
  <si>
    <t>노인사회활동지원사업
전담관리보조금</t>
  </si>
  <si>
    <t>맞춤형운동처방사업보조금</t>
  </si>
  <si>
    <t>정읍시북부노인대학보조금</t>
  </si>
  <si>
    <t>지역주도형청년일자리보조금</t>
  </si>
  <si>
    <t>응급안전알리미보조금</t>
  </si>
  <si>
    <t>기능보강사업보조금</t>
  </si>
  <si>
    <t>기타보조금계</t>
  </si>
  <si>
    <t>기타보조금</t>
  </si>
  <si>
    <t>문화예술교육지원사업</t>
  </si>
  <si>
    <t>선배시민자원봉사단사업(서지말기자단)</t>
    <phoneticPr fontId="2" type="noConversion"/>
  </si>
  <si>
    <t>선배시민자원봉사단사업(시골마을행복나눔봉사단)</t>
    <phoneticPr fontId="2" type="noConversion"/>
  </si>
  <si>
    <t>선배시민자원봉사단사업(찾아가는영양교육)</t>
    <phoneticPr fontId="2" type="noConversion"/>
  </si>
  <si>
    <t>고용지원사업비</t>
    <phoneticPr fontId="2" type="noConversion"/>
  </si>
  <si>
    <t>서지말솜씨방 수입</t>
    <phoneticPr fontId="2" type="noConversion"/>
  </si>
  <si>
    <t>노인대학수입</t>
    <phoneticPr fontId="2" type="noConversion"/>
  </si>
  <si>
    <t>노인연계프로그램</t>
    <phoneticPr fontId="2" type="noConversion"/>
  </si>
  <si>
    <t>노인사회활동지원
전담관리사업비</t>
    <phoneticPr fontId="2" type="noConversion"/>
  </si>
  <si>
    <t>맞춤형운동처방사업비</t>
    <phoneticPr fontId="2" type="noConversion"/>
  </si>
  <si>
    <t>노인대학사업비</t>
    <phoneticPr fontId="2" type="noConversion"/>
  </si>
  <si>
    <t>총명학교사업비</t>
    <phoneticPr fontId="2" type="noConversion"/>
  </si>
  <si>
    <t>지역문화해설사양성사업비</t>
    <phoneticPr fontId="2" type="noConversion"/>
  </si>
  <si>
    <t>청년일자리사업비</t>
    <phoneticPr fontId="2" type="noConversion"/>
  </si>
  <si>
    <t>응급안전알리미사업비</t>
    <phoneticPr fontId="2" type="noConversion"/>
  </si>
  <si>
    <t>공기청정기지원사업비</t>
    <phoneticPr fontId="2" type="noConversion"/>
  </si>
  <si>
    <t>선배시민자원봉사단사업비
(서지말기자단)</t>
    <phoneticPr fontId="2" type="noConversion"/>
  </si>
  <si>
    <t>선배시민자원봉사단사업비
(행복나눔봉사단)</t>
    <phoneticPr fontId="2" type="noConversion"/>
  </si>
  <si>
    <t>선배시민자원봉사단사업비
(영양교육)</t>
    <phoneticPr fontId="2" type="noConversion"/>
  </si>
  <si>
    <t>기능보강사업비</t>
    <phoneticPr fontId="2" type="noConversion"/>
  </si>
  <si>
    <t>마음방역지원사업비</t>
    <phoneticPr fontId="2" type="noConversion"/>
  </si>
  <si>
    <t>사업주훈련및일병학학습사업비</t>
    <phoneticPr fontId="2" type="noConversion"/>
  </si>
  <si>
    <t>노인연계프로그램보조금</t>
    <phoneticPr fontId="2" type="noConversion"/>
  </si>
  <si>
    <t>무료중식사업보조금</t>
    <phoneticPr fontId="2" type="noConversion"/>
  </si>
  <si>
    <t>밑반찬배달사업보조금</t>
    <phoneticPr fontId="2" type="noConversion"/>
  </si>
  <si>
    <t>밑반찬배달사업보조금 1,350원×52주×5일×43명</t>
    <phoneticPr fontId="2" type="noConversion"/>
  </si>
  <si>
    <t>노인사회활동지원사업
보조금</t>
    <phoneticPr fontId="2" type="noConversion"/>
  </si>
  <si>
    <t>공익형보조금</t>
    <phoneticPr fontId="2" type="noConversion"/>
  </si>
  <si>
    <t>시장형보조금</t>
    <phoneticPr fontId="2" type="noConversion"/>
  </si>
  <si>
    <t>노인사회활동지원사업
전담관리보조금</t>
    <phoneticPr fontId="2" type="noConversion"/>
  </si>
  <si>
    <t>맞춤형운동처방사업보조금</t>
    <phoneticPr fontId="2" type="noConversion"/>
  </si>
  <si>
    <t>운동처방사보조금</t>
    <phoneticPr fontId="2" type="noConversion"/>
  </si>
  <si>
    <t>정읍시북부노인대학보조금</t>
    <phoneticPr fontId="2" type="noConversion"/>
  </si>
  <si>
    <t>노인대학보조금</t>
    <phoneticPr fontId="2" type="noConversion"/>
  </si>
  <si>
    <t>지역주도형청년일자리보조금</t>
    <phoneticPr fontId="2" type="noConversion"/>
  </si>
  <si>
    <t>응급안전알리미사업보조금</t>
    <phoneticPr fontId="2" type="noConversion"/>
  </si>
  <si>
    <t>기능보강사업보조금</t>
    <phoneticPr fontId="2" type="noConversion"/>
  </si>
  <si>
    <t>기타보조금계</t>
    <phoneticPr fontId="2" type="noConversion"/>
  </si>
  <si>
    <t>직원동아리활동지원금</t>
    <phoneticPr fontId="2" type="noConversion"/>
  </si>
  <si>
    <t>직원동아리단체활동지원금</t>
    <phoneticPr fontId="2" type="noConversion"/>
  </si>
  <si>
    <t>문화예술교육지원사업</t>
    <phoneticPr fontId="2" type="noConversion"/>
  </si>
  <si>
    <t>선배시민자원봉사단사업
(서지말기자단)</t>
    <phoneticPr fontId="2" type="noConversion"/>
  </si>
  <si>
    <t>선배시민자원봉사단사업
(시골마을행복나눔봉사단)</t>
    <phoneticPr fontId="2" type="noConversion"/>
  </si>
  <si>
    <t>선배시민자원봉사단사업
(찾아가는영양교육)</t>
    <phoneticPr fontId="2" type="noConversion"/>
  </si>
  <si>
    <t>지역문화해설가양성사업 지원금</t>
    <phoneticPr fontId="2" type="noConversion"/>
  </si>
  <si>
    <t>공기청정기렌탈료후원금</t>
    <phoneticPr fontId="2" type="noConversion"/>
  </si>
  <si>
    <t>서지말솜씨방수입</t>
    <phoneticPr fontId="2" type="noConversion"/>
  </si>
  <si>
    <t>정읍시북부노인대학수입</t>
    <phoneticPr fontId="2" type="noConversion"/>
  </si>
  <si>
    <t>등록금 80,000원×140명</t>
    <phoneticPr fontId="2" type="noConversion"/>
  </si>
  <si>
    <t>수학여행 50,000원×120명</t>
    <phoneticPr fontId="2" type="noConversion"/>
  </si>
  <si>
    <t>현장학습 20,000원×3회×120명</t>
    <phoneticPr fontId="2" type="noConversion"/>
  </si>
  <si>
    <t>전년도이월금(운영비)</t>
    <phoneticPr fontId="2" type="noConversion"/>
  </si>
  <si>
    <t>예금이자 수입</t>
    <phoneticPr fontId="2" type="noConversion"/>
  </si>
  <si>
    <t>2,000,000원×1식</t>
    <phoneticPr fontId="2" type="noConversion"/>
  </si>
  <si>
    <t>프로그램</t>
    <phoneticPr fontId="2" type="noConversion"/>
  </si>
  <si>
    <t>고용지원
사업비</t>
    <phoneticPr fontId="2" type="noConversion"/>
  </si>
  <si>
    <t>공익형급여</t>
    <phoneticPr fontId="2" type="noConversion"/>
  </si>
  <si>
    <t>270,000원×630명×11개월</t>
    <phoneticPr fontId="2" type="noConversion"/>
  </si>
  <si>
    <t>공익형부대경비</t>
    <phoneticPr fontId="2" type="noConversion"/>
  </si>
  <si>
    <t>180,000원×630명</t>
    <phoneticPr fontId="2" type="noConversion"/>
  </si>
  <si>
    <t>시장형급여</t>
    <phoneticPr fontId="2" type="noConversion"/>
  </si>
  <si>
    <t>180,000원×20명×10개월</t>
    <phoneticPr fontId="2" type="noConversion"/>
  </si>
  <si>
    <t>시장형부대경비</t>
    <phoneticPr fontId="2" type="noConversion"/>
  </si>
  <si>
    <t>서지말솜씨방</t>
    <phoneticPr fontId="2" type="noConversion"/>
  </si>
  <si>
    <t>무료중식사업</t>
  </si>
  <si>
    <t>밑반찬배달사업</t>
  </si>
  <si>
    <t>1,350원×52주×5일×43명</t>
    <phoneticPr fontId="2" type="noConversion"/>
  </si>
  <si>
    <t>강사비</t>
    <phoneticPr fontId="2" type="noConversion"/>
  </si>
  <si>
    <t>36주×9곳×2회×30,000원</t>
    <phoneticPr fontId="2" type="noConversion"/>
  </si>
  <si>
    <t>원거리교통비</t>
    <phoneticPr fontId="2" type="noConversion"/>
  </si>
  <si>
    <t>주유권 1회×3명×50,000원</t>
    <phoneticPr fontId="2" type="noConversion"/>
  </si>
  <si>
    <t>작품발표회</t>
    <phoneticPr fontId="2" type="noConversion"/>
  </si>
  <si>
    <t>상품 9회×100,000원</t>
    <phoneticPr fontId="2" type="noConversion"/>
  </si>
  <si>
    <t>다과비 1회×300,000원</t>
    <phoneticPr fontId="2" type="noConversion"/>
  </si>
  <si>
    <t>현수막 1회×100,000원</t>
    <phoneticPr fontId="2" type="noConversion"/>
  </si>
  <si>
    <t>사진인화 9개×22,000원</t>
    <phoneticPr fontId="2" type="noConversion"/>
  </si>
  <si>
    <t>특화사업</t>
    <phoneticPr fontId="2" type="noConversion"/>
  </si>
  <si>
    <t>강사간담회,협약</t>
    <phoneticPr fontId="2" type="noConversion"/>
  </si>
  <si>
    <t>2회×150,000원</t>
    <phoneticPr fontId="2" type="noConversion"/>
  </si>
  <si>
    <t>임원간담회</t>
    <phoneticPr fontId="2" type="noConversion"/>
  </si>
  <si>
    <t>2회×150,001원</t>
  </si>
  <si>
    <t>사무용품비</t>
    <phoneticPr fontId="2" type="noConversion"/>
  </si>
  <si>
    <t>전담관리자여비</t>
    <phoneticPr fontId="2" type="noConversion"/>
  </si>
  <si>
    <t>직원동아리단체활동지원사업</t>
    <phoneticPr fontId="2" type="noConversion"/>
  </si>
  <si>
    <t>500,000원×1식</t>
    <phoneticPr fontId="2" type="noConversion"/>
  </si>
  <si>
    <t>노인사회활동지원사업전담관리사업비</t>
    <phoneticPr fontId="2" type="noConversion"/>
  </si>
  <si>
    <t>맞춤형운동
처방사업비</t>
    <phoneticPr fontId="2" type="noConversion"/>
  </si>
  <si>
    <t>명절수당</t>
    <phoneticPr fontId="2" type="noConversion"/>
  </si>
  <si>
    <t>노인대학
사업비</t>
  </si>
  <si>
    <t>학생모집</t>
    <phoneticPr fontId="2" type="noConversion"/>
  </si>
  <si>
    <t>입학식</t>
    <phoneticPr fontId="2" type="noConversion"/>
  </si>
  <si>
    <t>강의수업</t>
    <phoneticPr fontId="2" type="noConversion"/>
  </si>
  <si>
    <t>현장학습</t>
  </si>
  <si>
    <t>4,000,000원×3회</t>
    <phoneticPr fontId="2" type="noConversion"/>
  </si>
  <si>
    <t>수학여행</t>
  </si>
  <si>
    <t>13,000,000원×1회</t>
    <phoneticPr fontId="2" type="noConversion"/>
  </si>
  <si>
    <t>졸업식</t>
  </si>
  <si>
    <t>여행자보험 1,300원×120명×5회</t>
  </si>
  <si>
    <t>총명학교
사업비</t>
    <phoneticPr fontId="2" type="noConversion"/>
  </si>
  <si>
    <t>지역문화해설가
양성사업비</t>
    <phoneticPr fontId="2" type="noConversion"/>
  </si>
  <si>
    <t>홍보</t>
    <phoneticPr fontId="2" type="noConversion"/>
  </si>
  <si>
    <t>현수막</t>
    <phoneticPr fontId="2" type="noConversion"/>
  </si>
  <si>
    <t>관리운영비</t>
    <phoneticPr fontId="2" type="noConversion"/>
  </si>
  <si>
    <t>직역주도형청년일자리사업비</t>
    <phoneticPr fontId="2" type="noConversion"/>
  </si>
  <si>
    <t>응급안전알리미사업</t>
    <phoneticPr fontId="2" type="noConversion"/>
  </si>
  <si>
    <t>장비유지비</t>
    <phoneticPr fontId="2" type="noConversion"/>
  </si>
  <si>
    <t>활동비</t>
    <phoneticPr fontId="2" type="noConversion"/>
  </si>
  <si>
    <t>활동비 200,000원×12개월</t>
    <phoneticPr fontId="2" type="noConversion"/>
  </si>
  <si>
    <t>공기청정기지원 렌탈비</t>
    <phoneticPr fontId="2" type="noConversion"/>
  </si>
  <si>
    <t>775,000원×1식</t>
    <phoneticPr fontId="2" type="noConversion"/>
  </si>
  <si>
    <t>선배시민자원
봉사단사업비</t>
    <phoneticPr fontId="2" type="noConversion"/>
  </si>
  <si>
    <t>교육</t>
    <phoneticPr fontId="2" type="noConversion"/>
  </si>
  <si>
    <t>(서지말기자단)</t>
    <phoneticPr fontId="2" type="noConversion"/>
  </si>
  <si>
    <t>(시골행복나눔
봉사단)</t>
    <phoneticPr fontId="2" type="noConversion"/>
  </si>
  <si>
    <t>(찾아가는영양교육)</t>
    <phoneticPr fontId="2" type="noConversion"/>
  </si>
  <si>
    <t>2021년 예산서 세입세출 총괄</t>
    <phoneticPr fontId="2" type="noConversion"/>
  </si>
  <si>
    <t>복지관운영 경상보조금수입 530,656,000원×3%</t>
  </si>
  <si>
    <t>5명×150,000원 ×12월</t>
  </si>
  <si>
    <t>3명×120,000원×12월</t>
  </si>
  <si>
    <t>CMS  2,500,000원×12월</t>
  </si>
  <si>
    <t>일시금 500,000원×12월</t>
  </si>
  <si>
    <t>5월 어버이날행사 일시금 1,000,000원×1회</t>
  </si>
  <si>
    <t>10월행사 일시금 35,000,000원×1회</t>
  </si>
  <si>
    <t>법인전입금수입 25,000,000원</t>
  </si>
  <si>
    <t>경로식당   2,500원×65명×242일</t>
  </si>
  <si>
    <t>직원중식비 50,000원×12개월×16명</t>
  </si>
  <si>
    <t>사회복무요원  50,000원×12개월×4명</t>
  </si>
  <si>
    <t>일반 2,000원×20명×124일</t>
  </si>
  <si>
    <t>수급자 1,000원×10명×124일</t>
  </si>
  <si>
    <t>자판기 이용료 수입금 외 50,000원×50주</t>
  </si>
  <si>
    <t>임대료 200,000원×10회</t>
  </si>
  <si>
    <t>실습비 100,000원×3명</t>
  </si>
  <si>
    <t>10개월×11,000원</t>
    <phoneticPr fontId="2" type="noConversion"/>
  </si>
  <si>
    <t>유류대 12개월×100,000원</t>
    <phoneticPr fontId="2" type="noConversion"/>
  </si>
  <si>
    <t>무료중식사업보조금 2,500원×242일×65일</t>
    <phoneticPr fontId="2" type="noConversion"/>
  </si>
  <si>
    <t>2,500원×242일×65명</t>
    <phoneticPr fontId="2" type="noConversion"/>
  </si>
  <si>
    <t>16,800,000원×1식</t>
    <phoneticPr fontId="2" type="noConversion"/>
  </si>
  <si>
    <t>1,877,000원×13개월×5명</t>
    <phoneticPr fontId="2" type="noConversion"/>
  </si>
  <si>
    <t>1,877,000원×12개월×5명</t>
    <phoneticPr fontId="2" type="noConversion"/>
  </si>
  <si>
    <t>1,8770,000원×1개월×5명</t>
    <phoneticPr fontId="2" type="noConversion"/>
  </si>
  <si>
    <t>15,000,000원×1식</t>
    <phoneticPr fontId="2" type="noConversion"/>
  </si>
  <si>
    <t>1,877,000원×12개월</t>
    <phoneticPr fontId="2" type="noConversion"/>
  </si>
  <si>
    <t>1,877,000원×60%×1회</t>
    <phoneticPr fontId="2" type="noConversion"/>
  </si>
  <si>
    <t>1,877,000원×1개월+93,850원</t>
    <phoneticPr fontId="2" type="noConversion"/>
  </si>
  <si>
    <t>203,240원×12개월</t>
    <phoneticPr fontId="2" type="noConversion"/>
  </si>
  <si>
    <t>현수막 40,000원×6개</t>
    <phoneticPr fontId="2" type="noConversion"/>
  </si>
  <si>
    <t>입학식 200,000원×1회</t>
    <phoneticPr fontId="2" type="noConversion"/>
  </si>
  <si>
    <t>중식비 2,500원×140명</t>
    <phoneticPr fontId="2" type="noConversion"/>
  </si>
  <si>
    <t>강사수당 80,000원×2시간×23회</t>
    <phoneticPr fontId="2" type="noConversion"/>
  </si>
  <si>
    <t>중식비 2,500원×23회×120명</t>
    <phoneticPr fontId="2" type="noConversion"/>
  </si>
  <si>
    <t>1,842,000원×1회</t>
    <phoneticPr fontId="2" type="noConversion"/>
  </si>
  <si>
    <t>30,000원×8회</t>
    <phoneticPr fontId="2" type="noConversion"/>
  </si>
  <si>
    <t>단체복 15,000원×40명</t>
    <phoneticPr fontId="2" type="noConversion"/>
  </si>
  <si>
    <t>급여 1,822,480원×1명×12개월</t>
    <phoneticPr fontId="2" type="noConversion"/>
  </si>
  <si>
    <t>4대보험, 퇴직금 359,000원×1명×12개월</t>
    <phoneticPr fontId="2" type="noConversion"/>
  </si>
  <si>
    <t>유지보수비 150대×12개월×2.200원</t>
    <phoneticPr fontId="2" type="noConversion"/>
  </si>
  <si>
    <t>장비설치비및장비소모품 1,040,000원×1식</t>
    <phoneticPr fontId="2" type="noConversion"/>
  </si>
  <si>
    <t>3,360,000원×1식</t>
    <phoneticPr fontId="2" type="noConversion"/>
  </si>
  <si>
    <t>55,000원×4ea</t>
    <phoneticPr fontId="2" type="noConversion"/>
  </si>
  <si>
    <t>80,000원×3회</t>
    <phoneticPr fontId="2" type="noConversion"/>
  </si>
  <si>
    <t>240,000×6회</t>
    <phoneticPr fontId="2" type="noConversion"/>
  </si>
  <si>
    <t>240,000원×3회</t>
    <phoneticPr fontId="2" type="noConversion"/>
  </si>
  <si>
    <t>유적지탐방</t>
    <phoneticPr fontId="2" type="noConversion"/>
  </si>
  <si>
    <t>강사비 240,000원×2회</t>
    <phoneticPr fontId="2" type="noConversion"/>
  </si>
  <si>
    <t>식사비 10,000원×20명×2회</t>
    <phoneticPr fontId="2" type="noConversion"/>
  </si>
  <si>
    <t>프로그램 10,000원×20명×2회</t>
    <phoneticPr fontId="2" type="noConversion"/>
  </si>
  <si>
    <t>주유비 50,000원×2회</t>
    <phoneticPr fontId="2" type="noConversion"/>
  </si>
  <si>
    <t>해설사임명식</t>
    <phoneticPr fontId="2" type="noConversion"/>
  </si>
  <si>
    <t>활동장비 30,000원×20명</t>
    <phoneticPr fontId="2" type="noConversion"/>
  </si>
  <si>
    <t>해설사활동</t>
    <phoneticPr fontId="2" type="noConversion"/>
  </si>
  <si>
    <t>차량비 50,000원×2회</t>
    <phoneticPr fontId="2" type="noConversion"/>
  </si>
  <si>
    <t>활동장비 30,000원×15명</t>
    <phoneticPr fontId="2" type="noConversion"/>
  </si>
  <si>
    <t>홍보물제작</t>
    <phoneticPr fontId="2" type="noConversion"/>
  </si>
  <si>
    <t>재료비 100,000원×2회</t>
    <phoneticPr fontId="2" type="noConversion"/>
  </si>
  <si>
    <t>홍보지 250,000원×2회</t>
    <phoneticPr fontId="2" type="noConversion"/>
  </si>
  <si>
    <t>사진첩만들기</t>
    <phoneticPr fontId="2" type="noConversion"/>
  </si>
  <si>
    <t>30,000원×15명</t>
    <phoneticPr fontId="2" type="noConversion"/>
  </si>
  <si>
    <t>소외계층프로그램</t>
    <phoneticPr fontId="2" type="noConversion"/>
  </si>
  <si>
    <t>식사비 10,000원×40명×1회</t>
    <phoneticPr fontId="2" type="noConversion"/>
  </si>
  <si>
    <t>프로그램 10,000원×40명×1회</t>
    <phoneticPr fontId="2" type="noConversion"/>
  </si>
  <si>
    <t>평가회</t>
    <phoneticPr fontId="2" type="noConversion"/>
  </si>
  <si>
    <t>식사비 10,000원×35명</t>
    <phoneticPr fontId="2" type="noConversion"/>
  </si>
  <si>
    <t>사무용품 50,000원×2회</t>
    <phoneticPr fontId="2" type="noConversion"/>
  </si>
  <si>
    <t>다과비 5,000원×15명×2회</t>
    <phoneticPr fontId="2" type="noConversion"/>
  </si>
  <si>
    <t>다과비 5,000원×20명×2회</t>
    <phoneticPr fontId="2" type="noConversion"/>
  </si>
  <si>
    <t>사업주훈련지원금 900,000원×6회</t>
    <phoneticPr fontId="2" type="noConversion"/>
  </si>
  <si>
    <t>일병학학습지원금 3,737,000원×10회</t>
    <phoneticPr fontId="2" type="noConversion"/>
  </si>
  <si>
    <t>42,770,000원×1식</t>
    <phoneticPr fontId="2" type="noConversion"/>
  </si>
  <si>
    <t>2021년 세입예산 산출내역서</t>
    <phoneticPr fontId="2" type="noConversion"/>
  </si>
  <si>
    <t>2021년 세출예산 산출내역서</t>
    <phoneticPr fontId="2" type="noConversion"/>
  </si>
  <si>
    <t>정향누리사업보조금</t>
    <phoneticPr fontId="2" type="noConversion"/>
  </si>
  <si>
    <t>허브및국화식재</t>
    <phoneticPr fontId="2" type="noConversion"/>
  </si>
  <si>
    <t>종자비</t>
    <phoneticPr fontId="2" type="noConversion"/>
  </si>
  <si>
    <t>3,500주×1,000원</t>
    <phoneticPr fontId="2" type="noConversion"/>
  </si>
  <si>
    <t>비료</t>
    <phoneticPr fontId="2" type="noConversion"/>
  </si>
  <si>
    <t>5,500,000원×1식</t>
    <phoneticPr fontId="2" type="noConversion"/>
  </si>
  <si>
    <t>허브및국화배부</t>
    <phoneticPr fontId="2" type="noConversion"/>
  </si>
  <si>
    <t>화분비</t>
    <phoneticPr fontId="2" type="noConversion"/>
  </si>
  <si>
    <t>3,500주×5,000원</t>
    <phoneticPr fontId="2" type="noConversion"/>
  </si>
  <si>
    <t>상토및부자재</t>
    <phoneticPr fontId="2" type="noConversion"/>
  </si>
  <si>
    <t>7,000,000원×1식</t>
    <phoneticPr fontId="2" type="noConversion"/>
  </si>
  <si>
    <t>기타비용</t>
    <phoneticPr fontId="2" type="noConversion"/>
  </si>
  <si>
    <t>객토작업비</t>
    <phoneticPr fontId="2" type="noConversion"/>
  </si>
  <si>
    <t>500,000원×1식</t>
    <phoneticPr fontId="2" type="noConversion"/>
  </si>
  <si>
    <t>현수막및사무비</t>
    <phoneticPr fontId="2" type="noConversion"/>
  </si>
  <si>
    <t>1,000,000원×1식</t>
    <phoneticPr fontId="2" type="noConversion"/>
  </si>
  <si>
    <t>경로당정향누리사업비</t>
    <phoneticPr fontId="2" type="noConversion"/>
  </si>
  <si>
    <t>경로당정향누리사업보조금</t>
    <phoneticPr fontId="2" type="noConversion"/>
  </si>
  <si>
    <t>2021년</t>
    <phoneticPr fontId="2" type="noConversion"/>
  </si>
  <si>
    <t>자원봉사지지</t>
    <phoneticPr fontId="2" type="noConversion"/>
  </si>
  <si>
    <t>기념품 300,000원×1회</t>
    <phoneticPr fontId="2" type="noConversion"/>
  </si>
  <si>
    <t>10,000원×16명</t>
    <phoneticPr fontId="2" type="noConversion"/>
  </si>
  <si>
    <t>50,000원×2회</t>
    <phoneticPr fontId="2" type="noConversion"/>
  </si>
  <si>
    <t>8,427,000원×1식</t>
    <phoneticPr fontId="2" type="noConversion"/>
  </si>
  <si>
    <t>정읍시북부노인복지관 민간위탁 세입세출 예산서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</si>
</sst>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#,##0_ "/>
    <numFmt numFmtId="177" formatCode="#,##0_);[Red]\(#,##0\)"/>
    <numFmt numFmtId="178" formatCode="0.0_ "/>
    <numFmt numFmtId="179" formatCode="_-* #,##0.0_-;\-* #,##0.0_-;_-* &quot;-&quot;_-;_-@_-"/>
    <numFmt numFmtId="180" formatCode="#,##0,"/>
    <numFmt numFmtId="181" formatCode="#,##0.000000_);[Red]\(#,##0.000000\)"/>
    <numFmt numFmtId="183" formatCode="0.0"/>
    <numFmt numFmtId="191" formatCode="#,##0.000,"/>
  </numFmts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0"/>
      <name val="HY신명조"/>
      <family val="1"/>
      <charset val="129"/>
    </font>
    <font>
      <sz val="10"/>
      <name val="HY신명조"/>
      <family val="1"/>
      <charset val="129"/>
    </font>
    <font>
      <sz val="10"/>
      <name val="돋움"/>
      <family val="3"/>
      <charset val="129"/>
    </font>
    <font>
      <sz val="11"/>
      <name val="HY견명조"/>
      <family val="1"/>
      <charset val="129"/>
    </font>
    <font>
      <sz val="28"/>
      <name val="HY견명조"/>
      <family val="1"/>
      <charset val="129"/>
    </font>
    <font>
      <sz val="24"/>
      <name val="HY견명조"/>
      <family val="1"/>
      <charset val="129"/>
    </font>
    <font>
      <sz val="36"/>
      <name val="HY견명조"/>
      <family val="1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b/>
      <sz val="9"/>
      <name val="HY신명조"/>
      <family val="1"/>
      <charset val="129"/>
    </font>
    <font>
      <sz val="11"/>
      <name val="-윤명조330"/>
      <family val="1"/>
      <charset val="129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b/>
      <sz val="16"/>
      <name val="HY신명조"/>
      <family val="1"/>
      <charset val="129"/>
    </font>
    <font>
      <sz val="9"/>
      <name val="맑은 고딕"/>
      <family val="3"/>
      <charset val="129"/>
      <scheme val="major"/>
    </font>
    <font>
      <b/>
      <sz val="20"/>
      <name val="HY신명조"/>
      <family val="1"/>
      <charset val="129"/>
    </font>
    <font>
      <b/>
      <sz val="12"/>
      <name val="-윤명조330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78">
    <xf numFmtId="0" fontId="0" fillId="0" borderId="0" xfId="0">
      <alignment vertical="center"/>
    </xf>
    <xf numFmtId="0" fontId="3" fillId="0" borderId="0" xfId="0" applyFont="1">
      <alignment vertical="center"/>
    </xf>
    <xf numFmtId="41" fontId="1" fillId="0" borderId="0" xfId="1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5" fillId="0" borderId="0" xfId="1" applyFont="1" applyFill="1" applyBorder="1">
      <alignment vertical="center"/>
    </xf>
    <xf numFmtId="41" fontId="5" fillId="0" borderId="0" xfId="1" applyFont="1" applyFill="1" applyBorder="1" applyAlignment="1">
      <alignment horizontal="left" vertical="center"/>
    </xf>
    <xf numFmtId="41" fontId="1" fillId="0" borderId="0" xfId="1" applyFont="1" applyAlignment="1">
      <alignment horizontal="right"/>
    </xf>
    <xf numFmtId="0" fontId="12" fillId="0" borderId="0" xfId="5" applyFont="1">
      <alignment vertical="center"/>
    </xf>
    <xf numFmtId="41" fontId="1" fillId="0" borderId="0" xfId="1" applyFont="1" applyAlignment="1">
      <alignment horizontal="center"/>
    </xf>
    <xf numFmtId="41" fontId="6" fillId="0" borderId="0" xfId="1" applyFont="1" applyFill="1" applyBorder="1">
      <alignment vertical="center"/>
    </xf>
    <xf numFmtId="41" fontId="1" fillId="0" borderId="0" xfId="1" applyFont="1" applyBorder="1" applyAlignment="1">
      <alignment horizontal="center"/>
    </xf>
    <xf numFmtId="179" fontId="5" fillId="0" borderId="0" xfId="1" applyNumberFormat="1" applyFont="1" applyFill="1" applyBorder="1" applyAlignment="1">
      <alignment horizontal="center"/>
    </xf>
    <xf numFmtId="41" fontId="5" fillId="0" borderId="0" xfId="1" applyFont="1" applyFill="1" applyBorder="1" applyAlignment="1">
      <alignment horizontal="center"/>
    </xf>
    <xf numFmtId="41" fontId="5" fillId="0" borderId="0" xfId="1" applyFont="1" applyFill="1" applyBorder="1" applyAlignment="1">
      <alignment horizontal="right"/>
    </xf>
    <xf numFmtId="41" fontId="1" fillId="0" borderId="0" xfId="1" applyFont="1" applyFill="1" applyAlignment="1">
      <alignment horizontal="center"/>
    </xf>
    <xf numFmtId="41" fontId="1" fillId="0" borderId="0" xfId="1" applyFont="1" applyFill="1" applyAlignment="1">
      <alignment horizontal="right"/>
    </xf>
    <xf numFmtId="41" fontId="1" fillId="0" borderId="0" xfId="1" applyFont="1" applyFill="1">
      <alignment vertical="center"/>
    </xf>
    <xf numFmtId="0" fontId="13" fillId="2" borderId="0" xfId="0" applyFont="1" applyFill="1" applyAlignment="1">
      <alignment horizontal="center" vertical="center"/>
    </xf>
    <xf numFmtId="41" fontId="4" fillId="0" borderId="0" xfId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41" fontId="1" fillId="0" borderId="0" xfId="1" applyFont="1" applyBorder="1">
      <alignment vertical="center"/>
    </xf>
    <xf numFmtId="180" fontId="1" fillId="0" borderId="0" xfId="0" applyNumberFormat="1" applyFont="1">
      <alignment vertical="center"/>
    </xf>
    <xf numFmtId="0" fontId="16" fillId="3" borderId="3" xfId="4" applyFont="1" applyFill="1" applyBorder="1" applyAlignment="1">
      <alignment horizontal="center" vertical="center"/>
    </xf>
    <xf numFmtId="0" fontId="16" fillId="3" borderId="11" xfId="4" applyFont="1" applyFill="1" applyBorder="1" applyAlignment="1">
      <alignment horizontal="center" vertical="center"/>
    </xf>
    <xf numFmtId="41" fontId="16" fillId="3" borderId="1" xfId="1" applyFont="1" applyFill="1" applyBorder="1" applyAlignment="1">
      <alignment horizontal="center" vertical="center"/>
    </xf>
    <xf numFmtId="41" fontId="15" fillId="3" borderId="32" xfId="1" applyFont="1" applyFill="1" applyBorder="1" applyAlignment="1">
      <alignment horizontal="center" vertical="center"/>
    </xf>
    <xf numFmtId="179" fontId="16" fillId="0" borderId="6" xfId="1" applyNumberFormat="1" applyFont="1" applyFill="1" applyBorder="1" applyAlignment="1">
      <alignment horizontal="center" vertical="top"/>
    </xf>
    <xf numFmtId="41" fontId="16" fillId="3" borderId="2" xfId="1" applyFont="1" applyFill="1" applyBorder="1" applyAlignment="1">
      <alignment horizontal="center" vertical="center"/>
    </xf>
    <xf numFmtId="41" fontId="16" fillId="3" borderId="34" xfId="1" applyFont="1" applyFill="1" applyBorder="1" applyAlignment="1">
      <alignment horizontal="center" vertical="center"/>
    </xf>
    <xf numFmtId="179" fontId="16" fillId="0" borderId="33" xfId="1" applyNumberFormat="1" applyFont="1" applyFill="1" applyBorder="1" applyAlignment="1">
      <alignment horizontal="center" vertical="center"/>
    </xf>
    <xf numFmtId="41" fontId="16" fillId="0" borderId="34" xfId="1" applyFont="1" applyFill="1" applyBorder="1" applyAlignment="1">
      <alignment horizontal="center" vertical="center"/>
    </xf>
    <xf numFmtId="41" fontId="16" fillId="0" borderId="7" xfId="1" applyFont="1" applyFill="1" applyBorder="1" applyAlignment="1">
      <alignment horizontal="center" vertical="center"/>
    </xf>
    <xf numFmtId="41" fontId="16" fillId="0" borderId="34" xfId="1" applyFont="1" applyFill="1" applyBorder="1" applyAlignment="1">
      <alignment horizontal="center" vertical="center" wrapText="1"/>
    </xf>
    <xf numFmtId="41" fontId="16" fillId="0" borderId="34" xfId="1" applyFont="1" applyFill="1" applyBorder="1" applyAlignment="1">
      <alignment horizontal="center" vertical="center" shrinkToFit="1"/>
    </xf>
    <xf numFmtId="41" fontId="16" fillId="3" borderId="5" xfId="1" applyFont="1" applyFill="1" applyBorder="1" applyAlignment="1">
      <alignment horizontal="center" vertical="center" shrinkToFit="1"/>
    </xf>
    <xf numFmtId="179" fontId="16" fillId="0" borderId="7" xfId="1" applyNumberFormat="1" applyFont="1" applyFill="1" applyBorder="1" applyAlignment="1">
      <alignment horizontal="center" vertical="center"/>
    </xf>
    <xf numFmtId="41" fontId="16" fillId="0" borderId="5" xfId="1" applyFont="1" applyFill="1" applyBorder="1" applyAlignment="1">
      <alignment horizontal="center" vertical="center"/>
    </xf>
    <xf numFmtId="0" fontId="16" fillId="3" borderId="2" xfId="4" applyFont="1" applyFill="1" applyBorder="1" applyAlignment="1">
      <alignment horizontal="center" vertical="center"/>
    </xf>
    <xf numFmtId="41" fontId="16" fillId="3" borderId="5" xfId="1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3" borderId="35" xfId="0" applyFont="1" applyFill="1" applyBorder="1" applyAlignment="1">
      <alignment horizontal="center" vertical="center" wrapText="1"/>
    </xf>
    <xf numFmtId="41" fontId="16" fillId="0" borderId="17" xfId="1" applyFont="1" applyFill="1" applyBorder="1" applyAlignment="1">
      <alignment horizontal="center" vertical="center" shrinkToFit="1"/>
    </xf>
    <xf numFmtId="0" fontId="16" fillId="3" borderId="19" xfId="4" applyFont="1" applyFill="1" applyBorder="1" applyAlignment="1">
      <alignment horizontal="center" vertical="center"/>
    </xf>
    <xf numFmtId="41" fontId="15" fillId="3" borderId="2" xfId="1" applyFont="1" applyFill="1" applyBorder="1" applyAlignment="1">
      <alignment horizontal="center" vertical="center"/>
    </xf>
    <xf numFmtId="41" fontId="15" fillId="3" borderId="34" xfId="1" applyFont="1" applyFill="1" applyBorder="1" applyAlignment="1">
      <alignment horizontal="center" vertical="center"/>
    </xf>
    <xf numFmtId="41" fontId="16" fillId="3" borderId="33" xfId="1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41" fontId="16" fillId="0" borderId="40" xfId="1" applyFont="1" applyFill="1" applyBorder="1" applyAlignment="1">
      <alignment horizontal="center" vertical="center"/>
    </xf>
    <xf numFmtId="41" fontId="16" fillId="0" borderId="41" xfId="1" applyFont="1" applyFill="1" applyBorder="1" applyAlignment="1">
      <alignment horizontal="center" vertical="center" wrapText="1"/>
    </xf>
    <xf numFmtId="41" fontId="15" fillId="0" borderId="14" xfId="1" applyFont="1" applyFill="1" applyBorder="1" applyAlignment="1">
      <alignment horizontal="center" vertical="top"/>
    </xf>
    <xf numFmtId="41" fontId="16" fillId="0" borderId="41" xfId="1" applyFont="1" applyFill="1" applyBorder="1" applyAlignment="1">
      <alignment horizontal="center" vertical="center"/>
    </xf>
    <xf numFmtId="41" fontId="15" fillId="0" borderId="0" xfId="1" applyFont="1" applyFill="1" applyBorder="1">
      <alignment vertical="center"/>
    </xf>
    <xf numFmtId="41" fontId="15" fillId="3" borderId="40" xfId="1" applyFont="1" applyFill="1" applyBorder="1" applyAlignment="1">
      <alignment horizontal="center" vertical="center"/>
    </xf>
    <xf numFmtId="41" fontId="16" fillId="3" borderId="40" xfId="1" applyFont="1" applyFill="1" applyBorder="1" applyAlignment="1">
      <alignment horizontal="center" vertical="center"/>
    </xf>
    <xf numFmtId="179" fontId="16" fillId="0" borderId="36" xfId="1" applyNumberFormat="1" applyFont="1" applyFill="1" applyBorder="1" applyAlignment="1">
      <alignment horizontal="center" vertical="top"/>
    </xf>
    <xf numFmtId="179" fontId="16" fillId="0" borderId="3" xfId="1" applyNumberFormat="1" applyFont="1" applyFill="1" applyBorder="1" applyAlignment="1">
      <alignment horizontal="center" vertical="center"/>
    </xf>
    <xf numFmtId="41" fontId="15" fillId="3" borderId="5" xfId="1" applyFont="1" applyFill="1" applyBorder="1" applyAlignment="1">
      <alignment horizontal="center" vertical="center"/>
    </xf>
    <xf numFmtId="179" fontId="16" fillId="0" borderId="8" xfId="1" applyNumberFormat="1" applyFont="1" applyFill="1" applyBorder="1" applyAlignment="1">
      <alignment horizontal="center" vertical="top"/>
    </xf>
    <xf numFmtId="179" fontId="16" fillId="0" borderId="9" xfId="1" applyNumberFormat="1" applyFont="1" applyFill="1" applyBorder="1" applyAlignment="1">
      <alignment horizontal="center" vertical="center"/>
    </xf>
    <xf numFmtId="41" fontId="16" fillId="0" borderId="16" xfId="1" applyFont="1" applyFill="1" applyBorder="1" applyAlignment="1">
      <alignment horizontal="center" vertical="center"/>
    </xf>
    <xf numFmtId="176" fontId="17" fillId="0" borderId="49" xfId="1" applyNumberFormat="1" applyFont="1" applyFill="1" applyBorder="1" applyAlignment="1">
      <alignment vertical="center"/>
    </xf>
    <xf numFmtId="176" fontId="17" fillId="0" borderId="40" xfId="1" applyNumberFormat="1" applyFont="1" applyFill="1" applyBorder="1" applyAlignment="1">
      <alignment vertical="center"/>
    </xf>
    <xf numFmtId="180" fontId="17" fillId="0" borderId="11" xfId="1" applyNumberFormat="1" applyFont="1" applyFill="1" applyBorder="1" applyAlignment="1">
      <alignment horizontal="right" vertical="center"/>
    </xf>
    <xf numFmtId="176" fontId="17" fillId="0" borderId="41" xfId="1" applyNumberFormat="1" applyFont="1" applyFill="1" applyBorder="1" applyAlignment="1"/>
    <xf numFmtId="176" fontId="17" fillId="0" borderId="41" xfId="1" applyNumberFormat="1" applyFont="1" applyFill="1" applyBorder="1" applyAlignment="1">
      <alignment vertical="center"/>
    </xf>
    <xf numFmtId="180" fontId="17" fillId="0" borderId="38" xfId="1" applyNumberFormat="1" applyFont="1" applyFill="1" applyBorder="1" applyAlignment="1">
      <alignment horizontal="right" vertical="center"/>
    </xf>
    <xf numFmtId="176" fontId="17" fillId="0" borderId="50" xfId="1" applyNumberFormat="1" applyFont="1" applyFill="1" applyBorder="1" applyAlignment="1">
      <alignment vertical="center"/>
    </xf>
    <xf numFmtId="180" fontId="17" fillId="0" borderId="28" xfId="1" applyNumberFormat="1" applyFont="1" applyFill="1" applyBorder="1" applyAlignment="1">
      <alignment horizontal="right" vertical="center"/>
    </xf>
    <xf numFmtId="176" fontId="17" fillId="0" borderId="29" xfId="1" applyNumberFormat="1" applyFont="1" applyFill="1" applyBorder="1" applyAlignment="1">
      <alignment vertical="center"/>
    </xf>
    <xf numFmtId="176" fontId="17" fillId="0" borderId="40" xfId="1" applyNumberFormat="1" applyFont="1" applyFill="1" applyBorder="1" applyAlignment="1">
      <alignment vertical="center" wrapText="1"/>
    </xf>
    <xf numFmtId="176" fontId="17" fillId="0" borderId="29" xfId="1" applyNumberFormat="1" applyFont="1" applyFill="1" applyBorder="1" applyAlignment="1">
      <alignment horizontal="left" vertical="center" wrapText="1"/>
    </xf>
    <xf numFmtId="180" fontId="17" fillId="0" borderId="28" xfId="1" applyNumberFormat="1" applyFont="1" applyFill="1" applyBorder="1" applyAlignment="1">
      <alignment horizontal="right" vertical="center" wrapText="1"/>
    </xf>
    <xf numFmtId="180" fontId="17" fillId="0" borderId="20" xfId="1" applyNumberFormat="1" applyFont="1" applyFill="1" applyBorder="1" applyAlignment="1">
      <alignment horizontal="right" vertical="center"/>
    </xf>
    <xf numFmtId="176" fontId="17" fillId="0" borderId="53" xfId="1" applyNumberFormat="1" applyFont="1" applyFill="1" applyBorder="1" applyAlignment="1">
      <alignment vertical="center"/>
    </xf>
    <xf numFmtId="41" fontId="18" fillId="0" borderId="11" xfId="1" applyFont="1" applyFill="1" applyBorder="1" applyAlignment="1">
      <alignment horizontal="left" vertical="center"/>
    </xf>
    <xf numFmtId="41" fontId="18" fillId="0" borderId="19" xfId="1" applyFont="1" applyFill="1" applyBorder="1" applyAlignment="1">
      <alignment horizontal="left" vertical="center"/>
    </xf>
    <xf numFmtId="180" fontId="17" fillId="0" borderId="19" xfId="1" applyNumberFormat="1" applyFont="1" applyFill="1" applyBorder="1" applyAlignment="1">
      <alignment vertical="center"/>
    </xf>
    <xf numFmtId="41" fontId="17" fillId="0" borderId="19" xfId="1" applyFont="1" applyFill="1" applyBorder="1" applyAlignment="1">
      <alignment horizontal="left" vertical="center"/>
    </xf>
    <xf numFmtId="0" fontId="17" fillId="0" borderId="35" xfId="0" applyNumberFormat="1" applyFont="1" applyFill="1" applyBorder="1" applyAlignment="1">
      <alignment vertical="center"/>
    </xf>
    <xf numFmtId="41" fontId="17" fillId="0" borderId="38" xfId="1" applyFont="1" applyFill="1" applyBorder="1" applyAlignment="1">
      <alignment horizontal="left" vertical="center"/>
    </xf>
    <xf numFmtId="0" fontId="17" fillId="0" borderId="37" xfId="0" applyNumberFormat="1" applyFont="1" applyFill="1" applyBorder="1" applyAlignment="1">
      <alignment vertical="center"/>
    </xf>
    <xf numFmtId="41" fontId="17" fillId="0" borderId="28" xfId="1" applyFont="1" applyFill="1" applyBorder="1" applyAlignment="1">
      <alignment horizontal="left" vertical="center"/>
    </xf>
    <xf numFmtId="0" fontId="17" fillId="0" borderId="0" xfId="0" applyNumberFormat="1" applyFont="1" applyFill="1" applyBorder="1" applyAlignment="1">
      <alignment vertical="center"/>
    </xf>
    <xf numFmtId="0" fontId="17" fillId="0" borderId="0" xfId="0" applyNumberFormat="1" applyFont="1" applyFill="1" applyBorder="1" applyAlignment="1">
      <alignment vertical="center" wrapText="1"/>
    </xf>
    <xf numFmtId="0" fontId="17" fillId="0" borderId="18" xfId="0" applyNumberFormat="1" applyFont="1" applyFill="1" applyBorder="1" applyAlignment="1">
      <alignment vertical="center" wrapText="1"/>
    </xf>
    <xf numFmtId="41" fontId="17" fillId="0" borderId="11" xfId="1" applyFont="1" applyFill="1" applyBorder="1" applyAlignment="1">
      <alignment horizontal="left" vertical="center"/>
    </xf>
    <xf numFmtId="0" fontId="17" fillId="0" borderId="18" xfId="0" applyNumberFormat="1" applyFont="1" applyFill="1" applyBorder="1" applyAlignment="1">
      <alignment vertical="center"/>
    </xf>
    <xf numFmtId="180" fontId="17" fillId="0" borderId="38" xfId="1" applyNumberFormat="1" applyFont="1" applyFill="1" applyBorder="1" applyAlignment="1">
      <alignment vertical="center"/>
    </xf>
    <xf numFmtId="41" fontId="17" fillId="0" borderId="19" xfId="1" applyFont="1" applyFill="1" applyBorder="1" applyAlignment="1">
      <alignment vertical="center"/>
    </xf>
    <xf numFmtId="0" fontId="17" fillId="0" borderId="35" xfId="0" applyNumberFormat="1" applyFont="1" applyFill="1" applyBorder="1" applyAlignment="1">
      <alignment vertical="center" wrapText="1"/>
    </xf>
    <xf numFmtId="180" fontId="17" fillId="0" borderId="28" xfId="1" applyNumberFormat="1" applyFont="1" applyFill="1" applyBorder="1" applyAlignment="1">
      <alignment vertical="center"/>
    </xf>
    <xf numFmtId="41" fontId="17" fillId="0" borderId="35" xfId="1" applyFont="1" applyFill="1" applyBorder="1" applyAlignment="1">
      <alignment vertical="center"/>
    </xf>
    <xf numFmtId="0" fontId="17" fillId="0" borderId="0" xfId="0" applyFont="1" applyBorder="1">
      <alignment vertical="center"/>
    </xf>
    <xf numFmtId="41" fontId="17" fillId="0" borderId="0" xfId="1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0" borderId="35" xfId="0" applyNumberFormat="1" applyFont="1" applyFill="1" applyBorder="1" applyAlignment="1">
      <alignment horizontal="center" vertical="center"/>
    </xf>
    <xf numFmtId="0" fontId="19" fillId="0" borderId="37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/>
    </xf>
    <xf numFmtId="0" fontId="19" fillId="0" borderId="18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 wrapText="1"/>
    </xf>
    <xf numFmtId="0" fontId="19" fillId="0" borderId="18" xfId="0" applyNumberFormat="1" applyFont="1" applyFill="1" applyBorder="1" applyAlignment="1">
      <alignment horizontal="center" vertical="center" wrapText="1"/>
    </xf>
    <xf numFmtId="0" fontId="19" fillId="0" borderId="35" xfId="1" applyNumberFormat="1" applyFont="1" applyFill="1" applyBorder="1" applyAlignment="1">
      <alignment horizontal="center" vertical="center"/>
    </xf>
    <xf numFmtId="0" fontId="19" fillId="0" borderId="0" xfId="1" applyNumberFormat="1" applyFont="1" applyFill="1" applyBorder="1" applyAlignment="1">
      <alignment horizontal="center" vertical="center"/>
    </xf>
    <xf numFmtId="0" fontId="19" fillId="0" borderId="18" xfId="1" applyNumberFormat="1" applyFont="1" applyFill="1" applyBorder="1" applyAlignment="1">
      <alignment horizontal="center" vertical="center"/>
    </xf>
    <xf numFmtId="0" fontId="19" fillId="0" borderId="0" xfId="1" applyNumberFormat="1" applyFont="1" applyFill="1" applyBorder="1" applyAlignment="1">
      <alignment horizontal="center" vertical="center" wrapText="1"/>
    </xf>
    <xf numFmtId="0" fontId="19" fillId="0" borderId="37" xfId="0" applyNumberFormat="1" applyFont="1" applyFill="1" applyBorder="1" applyAlignment="1">
      <alignment horizontal="center" vertical="center" wrapText="1"/>
    </xf>
    <xf numFmtId="3" fontId="19" fillId="0" borderId="0" xfId="0" applyNumberFormat="1" applyFont="1" applyFill="1" applyBorder="1" applyAlignment="1">
      <alignment horizontal="center" vertical="center"/>
    </xf>
    <xf numFmtId="3" fontId="19" fillId="0" borderId="18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180" fontId="18" fillId="0" borderId="11" xfId="1" applyNumberFormat="1" applyFont="1" applyFill="1" applyBorder="1" applyAlignment="1">
      <alignment vertical="center"/>
    </xf>
    <xf numFmtId="0" fontId="17" fillId="4" borderId="47" xfId="0" applyFont="1" applyFill="1" applyBorder="1" applyAlignment="1">
      <alignment horizontal="center" vertical="center"/>
    </xf>
    <xf numFmtId="180" fontId="18" fillId="4" borderId="48" xfId="1" applyNumberFormat="1" applyFont="1" applyFill="1" applyBorder="1" applyAlignment="1">
      <alignment horizontal="right" vertical="center"/>
    </xf>
    <xf numFmtId="180" fontId="18" fillId="4" borderId="3" xfId="1" applyNumberFormat="1" applyFont="1" applyFill="1" applyBorder="1" applyAlignment="1">
      <alignment horizontal="right" vertical="center"/>
    </xf>
    <xf numFmtId="180" fontId="17" fillId="4" borderId="3" xfId="1" applyNumberFormat="1" applyFont="1" applyFill="1" applyBorder="1" applyAlignment="1">
      <alignment horizontal="right" vertical="center"/>
    </xf>
    <xf numFmtId="180" fontId="17" fillId="4" borderId="11" xfId="1" applyNumberFormat="1" applyFont="1" applyFill="1" applyBorder="1" applyAlignment="1">
      <alignment horizontal="right" vertical="center"/>
    </xf>
    <xf numFmtId="180" fontId="17" fillId="4" borderId="38" xfId="1" applyNumberFormat="1" applyFont="1" applyFill="1" applyBorder="1" applyAlignment="1">
      <alignment horizontal="right" vertical="center"/>
    </xf>
    <xf numFmtId="180" fontId="17" fillId="4" borderId="2" xfId="1" applyNumberFormat="1" applyFont="1" applyFill="1" applyBorder="1" applyAlignment="1">
      <alignment horizontal="right" vertical="center" wrapText="1"/>
    </xf>
    <xf numFmtId="180" fontId="17" fillId="4" borderId="28" xfId="1" applyNumberFormat="1" applyFont="1" applyFill="1" applyBorder="1" applyAlignment="1">
      <alignment horizontal="right" vertical="center" wrapText="1"/>
    </xf>
    <xf numFmtId="180" fontId="18" fillId="4" borderId="2" xfId="1" applyNumberFormat="1" applyFont="1" applyFill="1" applyBorder="1" applyAlignment="1">
      <alignment horizontal="right" vertical="center" wrapText="1"/>
    </xf>
    <xf numFmtId="180" fontId="17" fillId="4" borderId="2" xfId="1" applyNumberFormat="1" applyFont="1" applyFill="1" applyBorder="1" applyAlignment="1">
      <alignment horizontal="right" vertical="center"/>
    </xf>
    <xf numFmtId="180" fontId="17" fillId="4" borderId="19" xfId="1" applyNumberFormat="1" applyFont="1" applyFill="1" applyBorder="1" applyAlignment="1">
      <alignment horizontal="right" vertical="center" wrapText="1"/>
    </xf>
    <xf numFmtId="180" fontId="17" fillId="4" borderId="38" xfId="1" applyNumberFormat="1" applyFont="1" applyFill="1" applyBorder="1" applyAlignment="1">
      <alignment horizontal="right" vertical="center" wrapText="1"/>
    </xf>
    <xf numFmtId="180" fontId="17" fillId="4" borderId="33" xfId="1" applyNumberFormat="1" applyFont="1" applyFill="1" applyBorder="1" applyAlignment="1">
      <alignment horizontal="right" vertical="center"/>
    </xf>
    <xf numFmtId="180" fontId="17" fillId="4" borderId="28" xfId="1" applyNumberFormat="1" applyFont="1" applyFill="1" applyBorder="1" applyAlignment="1">
      <alignment horizontal="right" vertical="center"/>
    </xf>
    <xf numFmtId="180" fontId="17" fillId="4" borderId="20" xfId="1" applyNumberFormat="1" applyFont="1" applyFill="1" applyBorder="1" applyAlignment="1">
      <alignment horizontal="right" vertical="center"/>
    </xf>
    <xf numFmtId="0" fontId="17" fillId="5" borderId="47" xfId="0" applyFont="1" applyFill="1" applyBorder="1" applyAlignment="1" applyProtection="1">
      <alignment horizontal="center" vertical="center" wrapText="1"/>
      <protection locked="0"/>
    </xf>
    <xf numFmtId="180" fontId="18" fillId="5" borderId="48" xfId="1" applyNumberFormat="1" applyFont="1" applyFill="1" applyBorder="1" applyAlignment="1">
      <alignment horizontal="right" vertical="center"/>
    </xf>
    <xf numFmtId="180" fontId="18" fillId="5" borderId="3" xfId="1" applyNumberFormat="1" applyFont="1" applyFill="1" applyBorder="1" applyAlignment="1">
      <alignment horizontal="right" vertical="center"/>
    </xf>
    <xf numFmtId="180" fontId="17" fillId="5" borderId="3" xfId="1" applyNumberFormat="1" applyFont="1" applyFill="1" applyBorder="1" applyAlignment="1">
      <alignment horizontal="right" vertical="center"/>
    </xf>
    <xf numFmtId="180" fontId="17" fillId="5" borderId="11" xfId="1" applyNumberFormat="1" applyFont="1" applyFill="1" applyBorder="1" applyAlignment="1">
      <alignment horizontal="right" vertical="center"/>
    </xf>
    <xf numFmtId="180" fontId="17" fillId="5" borderId="38" xfId="1" applyNumberFormat="1" applyFont="1" applyFill="1" applyBorder="1" applyAlignment="1">
      <alignment horizontal="right" vertical="center"/>
    </xf>
    <xf numFmtId="180" fontId="17" fillId="5" borderId="2" xfId="1" applyNumberFormat="1" applyFont="1" applyFill="1" applyBorder="1" applyAlignment="1">
      <alignment horizontal="right" vertical="center" wrapText="1"/>
    </xf>
    <xf numFmtId="180" fontId="17" fillId="5" borderId="28" xfId="1" applyNumberFormat="1" applyFont="1" applyFill="1" applyBorder="1" applyAlignment="1">
      <alignment horizontal="right" vertical="center" wrapText="1"/>
    </xf>
    <xf numFmtId="180" fontId="18" fillId="5" borderId="2" xfId="1" applyNumberFormat="1" applyFont="1" applyFill="1" applyBorder="1" applyAlignment="1">
      <alignment horizontal="right" vertical="center" wrapText="1"/>
    </xf>
    <xf numFmtId="180" fontId="17" fillId="5" borderId="2" xfId="1" applyNumberFormat="1" applyFont="1" applyFill="1" applyBorder="1" applyAlignment="1">
      <alignment horizontal="right" vertical="center"/>
    </xf>
    <xf numFmtId="180" fontId="17" fillId="5" borderId="19" xfId="1" applyNumberFormat="1" applyFont="1" applyFill="1" applyBorder="1" applyAlignment="1">
      <alignment horizontal="right" vertical="center" wrapText="1"/>
    </xf>
    <xf numFmtId="180" fontId="17" fillId="5" borderId="38" xfId="1" applyNumberFormat="1" applyFont="1" applyFill="1" applyBorder="1" applyAlignment="1">
      <alignment horizontal="right" vertical="center" wrapText="1"/>
    </xf>
    <xf numFmtId="180" fontId="17" fillId="5" borderId="19" xfId="1" applyNumberFormat="1" applyFont="1" applyFill="1" applyBorder="1" applyAlignment="1">
      <alignment horizontal="right" vertical="center"/>
    </xf>
    <xf numFmtId="180" fontId="17" fillId="5" borderId="33" xfId="1" applyNumberFormat="1" applyFont="1" applyFill="1" applyBorder="1" applyAlignment="1">
      <alignment horizontal="right" vertical="center"/>
    </xf>
    <xf numFmtId="180" fontId="17" fillId="5" borderId="28" xfId="1" applyNumberFormat="1" applyFont="1" applyFill="1" applyBorder="1" applyAlignment="1">
      <alignment horizontal="right" vertical="center"/>
    </xf>
    <xf numFmtId="180" fontId="17" fillId="5" borderId="20" xfId="1" applyNumberFormat="1" applyFont="1" applyFill="1" applyBorder="1" applyAlignment="1">
      <alignment horizontal="right" vertical="center"/>
    </xf>
    <xf numFmtId="180" fontId="18" fillId="5" borderId="48" xfId="1" applyNumberFormat="1" applyFont="1" applyFill="1" applyBorder="1" applyAlignment="1">
      <alignment vertical="center"/>
    </xf>
    <xf numFmtId="180" fontId="18" fillId="5" borderId="28" xfId="1" applyNumberFormat="1" applyFont="1" applyFill="1" applyBorder="1" applyAlignment="1">
      <alignment vertical="center"/>
    </xf>
    <xf numFmtId="180" fontId="17" fillId="5" borderId="19" xfId="1" applyNumberFormat="1" applyFont="1" applyFill="1" applyBorder="1" applyAlignment="1">
      <alignment vertical="center"/>
    </xf>
    <xf numFmtId="180" fontId="18" fillId="5" borderId="38" xfId="1" applyNumberFormat="1" applyFont="1" applyFill="1" applyBorder="1" applyAlignment="1">
      <alignment vertical="center"/>
    </xf>
    <xf numFmtId="180" fontId="17" fillId="5" borderId="38" xfId="1" applyNumberFormat="1" applyFont="1" applyFill="1" applyBorder="1" applyAlignment="1">
      <alignment vertical="center"/>
    </xf>
    <xf numFmtId="180" fontId="17" fillId="5" borderId="2" xfId="1" applyNumberFormat="1" applyFont="1" applyFill="1" applyBorder="1" applyAlignment="1">
      <alignment vertical="center"/>
    </xf>
    <xf numFmtId="180" fontId="17" fillId="5" borderId="28" xfId="1" applyNumberFormat="1" applyFont="1" applyFill="1" applyBorder="1" applyAlignment="1">
      <alignment vertical="center"/>
    </xf>
    <xf numFmtId="0" fontId="17" fillId="4" borderId="46" xfId="0" applyFont="1" applyFill="1" applyBorder="1" applyAlignment="1">
      <alignment horizontal="center" vertical="center"/>
    </xf>
    <xf numFmtId="180" fontId="18" fillId="4" borderId="48" xfId="1" applyNumberFormat="1" applyFont="1" applyFill="1" applyBorder="1" applyAlignment="1">
      <alignment vertical="center"/>
    </xf>
    <xf numFmtId="180" fontId="17" fillId="4" borderId="19" xfId="1" applyNumberFormat="1" applyFont="1" applyFill="1" applyBorder="1" applyAlignment="1">
      <alignment vertical="center"/>
    </xf>
    <xf numFmtId="180" fontId="18" fillId="4" borderId="38" xfId="1" applyNumberFormat="1" applyFont="1" applyFill="1" applyBorder="1" applyAlignment="1">
      <alignment vertical="center"/>
    </xf>
    <xf numFmtId="180" fontId="17" fillId="4" borderId="38" xfId="1" applyNumberFormat="1" applyFont="1" applyFill="1" applyBorder="1" applyAlignment="1">
      <alignment vertical="center"/>
    </xf>
    <xf numFmtId="180" fontId="17" fillId="4" borderId="2" xfId="1" applyNumberFormat="1" applyFont="1" applyFill="1" applyBorder="1" applyAlignment="1">
      <alignment vertical="center"/>
    </xf>
    <xf numFmtId="180" fontId="17" fillId="4" borderId="28" xfId="1" applyNumberFormat="1" applyFont="1" applyFill="1" applyBorder="1" applyAlignment="1">
      <alignment vertical="center"/>
    </xf>
    <xf numFmtId="180" fontId="17" fillId="5" borderId="47" xfId="0" applyNumberFormat="1" applyFont="1" applyFill="1" applyBorder="1" applyAlignment="1">
      <alignment horizontal="center" vertical="center"/>
    </xf>
    <xf numFmtId="180" fontId="16" fillId="3" borderId="19" xfId="0" applyNumberFormat="1" applyFont="1" applyFill="1" applyBorder="1" applyAlignment="1">
      <alignment vertical="center" wrapText="1"/>
    </xf>
    <xf numFmtId="180" fontId="16" fillId="3" borderId="2" xfId="0" applyNumberFormat="1" applyFont="1" applyFill="1" applyBorder="1" applyAlignment="1">
      <alignment vertical="center" wrapText="1"/>
    </xf>
    <xf numFmtId="41" fontId="0" fillId="0" borderId="0" xfId="1" applyFont="1" applyBorder="1">
      <alignment vertical="center"/>
    </xf>
    <xf numFmtId="41" fontId="17" fillId="0" borderId="0" xfId="1" applyFont="1" applyFill="1" applyBorder="1" applyAlignment="1">
      <alignment vertical="center"/>
    </xf>
    <xf numFmtId="41" fontId="21" fillId="0" borderId="0" xfId="1" applyFont="1" applyFill="1" applyBorder="1" applyAlignment="1">
      <alignment vertical="center"/>
    </xf>
    <xf numFmtId="41" fontId="15" fillId="0" borderId="27" xfId="1" applyFont="1" applyFill="1" applyBorder="1" applyAlignment="1">
      <alignment horizontal="center" vertical="top"/>
    </xf>
    <xf numFmtId="179" fontId="16" fillId="0" borderId="6" xfId="1" applyNumberFormat="1" applyFont="1" applyFill="1" applyBorder="1" applyAlignment="1">
      <alignment vertical="center" wrapText="1"/>
    </xf>
    <xf numFmtId="41" fontId="16" fillId="0" borderId="5" xfId="1" applyFont="1" applyFill="1" applyBorder="1" applyAlignment="1">
      <alignment horizontal="center" vertical="center" shrinkToFit="1"/>
    </xf>
    <xf numFmtId="41" fontId="16" fillId="0" borderId="33" xfId="1" applyFont="1" applyFill="1" applyBorder="1" applyAlignment="1">
      <alignment horizontal="center" vertical="center"/>
    </xf>
    <xf numFmtId="180" fontId="18" fillId="5" borderId="11" xfId="1" applyNumberFormat="1" applyFont="1" applyFill="1" applyBorder="1" applyAlignment="1">
      <alignment horizontal="right" vertical="center"/>
    </xf>
    <xf numFmtId="180" fontId="18" fillId="5" borderId="19" xfId="1" applyNumberFormat="1" applyFont="1" applyFill="1" applyBorder="1" applyAlignment="1">
      <alignment horizontal="right" vertical="center" wrapText="1"/>
    </xf>
    <xf numFmtId="180" fontId="16" fillId="3" borderId="66" xfId="0" applyNumberFormat="1" applyFont="1" applyFill="1" applyBorder="1" applyAlignment="1">
      <alignment vertical="center" wrapText="1"/>
    </xf>
    <xf numFmtId="41" fontId="21" fillId="0" borderId="29" xfId="1" applyFont="1" applyFill="1" applyBorder="1" applyAlignment="1">
      <alignment horizontal="center" vertical="center"/>
    </xf>
    <xf numFmtId="41" fontId="17" fillId="0" borderId="50" xfId="1" applyFont="1" applyFill="1" applyBorder="1">
      <alignment vertical="center"/>
    </xf>
    <xf numFmtId="180" fontId="16" fillId="3" borderId="34" xfId="0" applyNumberFormat="1" applyFont="1" applyFill="1" applyBorder="1" applyAlignment="1">
      <alignment vertical="center" wrapText="1"/>
    </xf>
    <xf numFmtId="41" fontId="18" fillId="0" borderId="40" xfId="1" applyFont="1" applyFill="1" applyBorder="1" applyAlignment="1">
      <alignment vertical="center"/>
    </xf>
    <xf numFmtId="41" fontId="18" fillId="0" borderId="41" xfId="1" applyFont="1" applyFill="1" applyBorder="1" applyAlignment="1">
      <alignment vertical="center"/>
    </xf>
    <xf numFmtId="41" fontId="17" fillId="0" borderId="41" xfId="1" applyFont="1" applyFill="1" applyBorder="1" applyAlignment="1">
      <alignment vertical="center"/>
    </xf>
    <xf numFmtId="41" fontId="17" fillId="0" borderId="50" xfId="1" applyFont="1" applyFill="1" applyBorder="1" applyAlignment="1">
      <alignment vertical="center"/>
    </xf>
    <xf numFmtId="41" fontId="17" fillId="0" borderId="29" xfId="1" applyFont="1" applyFill="1" applyBorder="1" applyAlignment="1">
      <alignment vertical="center"/>
    </xf>
    <xf numFmtId="41" fontId="17" fillId="0" borderId="40" xfId="1" applyFont="1" applyFill="1" applyBorder="1" applyAlignment="1">
      <alignment vertical="center"/>
    </xf>
    <xf numFmtId="41" fontId="17" fillId="0" borderId="29" xfId="0" applyNumberFormat="1" applyFont="1" applyFill="1" applyBorder="1" applyAlignment="1">
      <alignment vertical="center"/>
    </xf>
    <xf numFmtId="41" fontId="17" fillId="0" borderId="40" xfId="0" applyNumberFormat="1" applyFont="1" applyFill="1" applyBorder="1" applyAlignment="1">
      <alignment vertical="center"/>
    </xf>
    <xf numFmtId="41" fontId="16" fillId="0" borderId="3" xfId="1" applyFont="1" applyFill="1" applyBorder="1" applyAlignment="1">
      <alignment horizontal="center" vertical="center"/>
    </xf>
    <xf numFmtId="180" fontId="17" fillId="5" borderId="11" xfId="1" applyNumberFormat="1" applyFont="1" applyFill="1" applyBorder="1" applyAlignment="1">
      <alignment vertical="center"/>
    </xf>
    <xf numFmtId="180" fontId="17" fillId="0" borderId="11" xfId="1" applyNumberFormat="1" applyFont="1" applyFill="1" applyBorder="1" applyAlignment="1">
      <alignment vertical="center"/>
    </xf>
    <xf numFmtId="180" fontId="15" fillId="3" borderId="23" xfId="1" applyNumberFormat="1" applyFont="1" applyFill="1" applyBorder="1" applyAlignment="1">
      <alignment horizontal="right" vertical="center"/>
    </xf>
    <xf numFmtId="180" fontId="15" fillId="3" borderId="24" xfId="1" applyNumberFormat="1" applyFont="1" applyFill="1" applyBorder="1" applyAlignment="1">
      <alignment horizontal="right" vertical="center"/>
    </xf>
    <xf numFmtId="180" fontId="15" fillId="3" borderId="66" xfId="1" applyNumberFormat="1" applyFont="1" applyFill="1" applyBorder="1" applyAlignment="1">
      <alignment horizontal="right" vertical="center"/>
    </xf>
    <xf numFmtId="180" fontId="15" fillId="0" borderId="66" xfId="1" applyNumberFormat="1" applyFont="1" applyFill="1" applyBorder="1" applyAlignment="1">
      <alignment horizontal="right" vertical="center"/>
    </xf>
    <xf numFmtId="0" fontId="17" fillId="0" borderId="28" xfId="1" applyNumberFormat="1" applyFont="1" applyFill="1" applyBorder="1" applyAlignment="1">
      <alignment horizontal="left" vertical="center" wrapText="1"/>
    </xf>
    <xf numFmtId="0" fontId="16" fillId="0" borderId="0" xfId="0" applyFont="1">
      <alignment vertical="center"/>
    </xf>
    <xf numFmtId="3" fontId="17" fillId="0" borderId="18" xfId="0" applyNumberFormat="1" applyFont="1" applyFill="1" applyBorder="1" applyAlignment="1">
      <alignment horizontal="left" vertical="center"/>
    </xf>
    <xf numFmtId="0" fontId="17" fillId="0" borderId="37" xfId="0" applyNumberFormat="1" applyFont="1" applyFill="1" applyBorder="1" applyAlignment="1">
      <alignment vertical="center" wrapText="1"/>
    </xf>
    <xf numFmtId="3" fontId="17" fillId="0" borderId="37" xfId="0" applyNumberFormat="1" applyFont="1" applyFill="1" applyBorder="1" applyAlignment="1">
      <alignment vertical="center"/>
    </xf>
    <xf numFmtId="3" fontId="17" fillId="0" borderId="0" xfId="0" applyNumberFormat="1" applyFont="1" applyFill="1" applyBorder="1" applyAlignment="1">
      <alignment vertical="center"/>
    </xf>
    <xf numFmtId="180" fontId="18" fillId="0" borderId="28" xfId="1" applyNumberFormat="1" applyFont="1" applyFill="1" applyBorder="1" applyAlignment="1">
      <alignment horizontal="right" vertical="center"/>
    </xf>
    <xf numFmtId="180" fontId="15" fillId="6" borderId="66" xfId="1" applyNumberFormat="1" applyFont="1" applyFill="1" applyBorder="1" applyAlignment="1">
      <alignment horizontal="right" vertical="center"/>
    </xf>
    <xf numFmtId="180" fontId="15" fillId="3" borderId="75" xfId="1" applyNumberFormat="1" applyFont="1" applyFill="1" applyBorder="1" applyAlignment="1">
      <alignment horizontal="right" vertical="center"/>
    </xf>
    <xf numFmtId="180" fontId="16" fillId="3" borderId="66" xfId="1" applyNumberFormat="1" applyFont="1" applyFill="1" applyBorder="1" applyAlignment="1">
      <alignment horizontal="right" vertical="center"/>
    </xf>
    <xf numFmtId="180" fontId="16" fillId="0" borderId="66" xfId="1" applyNumberFormat="1" applyFont="1" applyFill="1" applyBorder="1" applyAlignment="1">
      <alignment horizontal="right" vertical="center"/>
    </xf>
    <xf numFmtId="180" fontId="16" fillId="3" borderId="67" xfId="1" applyNumberFormat="1" applyFont="1" applyFill="1" applyBorder="1" applyAlignment="1">
      <alignment horizontal="right" vertical="center" shrinkToFit="1"/>
    </xf>
    <xf numFmtId="180" fontId="16" fillId="0" borderId="67" xfId="1" applyNumberFormat="1" applyFont="1" applyFill="1" applyBorder="1" applyAlignment="1">
      <alignment horizontal="right" vertical="center" shrinkToFit="1"/>
    </xf>
    <xf numFmtId="180" fontId="16" fillId="0" borderId="67" xfId="1" applyNumberFormat="1" applyFont="1" applyFill="1" applyBorder="1" applyAlignment="1">
      <alignment horizontal="right" vertical="center"/>
    </xf>
    <xf numFmtId="180" fontId="16" fillId="3" borderId="67" xfId="1" applyNumberFormat="1" applyFont="1" applyFill="1" applyBorder="1" applyAlignment="1">
      <alignment horizontal="right" vertical="center"/>
    </xf>
    <xf numFmtId="180" fontId="16" fillId="0" borderId="74" xfId="1" applyNumberFormat="1" applyFont="1" applyFill="1" applyBorder="1" applyAlignment="1">
      <alignment horizontal="right" vertical="center" shrinkToFit="1"/>
    </xf>
    <xf numFmtId="180" fontId="16" fillId="0" borderId="74" xfId="1" applyNumberFormat="1" applyFont="1" applyFill="1" applyBorder="1" applyAlignment="1">
      <alignment horizontal="right" vertical="center"/>
    </xf>
    <xf numFmtId="180" fontId="16" fillId="0" borderId="67" xfId="1" applyNumberFormat="1" applyFont="1" applyFill="1" applyBorder="1" applyAlignment="1">
      <alignment horizontal="right" vertical="center" wrapText="1"/>
    </xf>
    <xf numFmtId="180" fontId="15" fillId="3" borderId="67" xfId="1" applyNumberFormat="1" applyFont="1" applyFill="1" applyBorder="1" applyAlignment="1">
      <alignment horizontal="right" vertical="center"/>
    </xf>
    <xf numFmtId="180" fontId="16" fillId="0" borderId="65" xfId="1" applyNumberFormat="1" applyFont="1" applyFill="1" applyBorder="1" applyAlignment="1">
      <alignment horizontal="right" vertical="center"/>
    </xf>
    <xf numFmtId="41" fontId="17" fillId="0" borderId="28" xfId="1" applyFont="1" applyFill="1" applyBorder="1" applyAlignment="1">
      <alignment horizontal="left" vertical="center" wrapText="1"/>
    </xf>
    <xf numFmtId="191" fontId="17" fillId="5" borderId="47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7" fillId="0" borderId="35" xfId="1" applyNumberFormat="1" applyFont="1" applyFill="1" applyBorder="1" applyAlignment="1">
      <alignment vertical="center"/>
    </xf>
    <xf numFmtId="180" fontId="24" fillId="5" borderId="28" xfId="1" applyNumberFormat="1" applyFont="1" applyFill="1" applyBorder="1" applyAlignment="1">
      <alignment vertical="center"/>
    </xf>
    <xf numFmtId="180" fontId="24" fillId="5" borderId="3" xfId="1" applyNumberFormat="1" applyFont="1" applyFill="1" applyBorder="1" applyAlignment="1">
      <alignment horizontal="right" vertical="center"/>
    </xf>
    <xf numFmtId="180" fontId="24" fillId="5" borderId="11" xfId="1" applyNumberFormat="1" applyFont="1" applyFill="1" applyBorder="1" applyAlignment="1">
      <alignment horizontal="right" vertical="center"/>
    </xf>
    <xf numFmtId="180" fontId="25" fillId="4" borderId="28" xfId="1" applyNumberFormat="1" applyFont="1" applyFill="1" applyBorder="1" applyAlignment="1">
      <alignment vertical="center"/>
    </xf>
    <xf numFmtId="180" fontId="25" fillId="5" borderId="28" xfId="1" applyNumberFormat="1" applyFont="1" applyFill="1" applyBorder="1" applyAlignment="1">
      <alignment vertical="center"/>
    </xf>
    <xf numFmtId="180" fontId="25" fillId="4" borderId="3" xfId="1" applyNumberFormat="1" applyFont="1" applyFill="1" applyBorder="1" applyAlignment="1">
      <alignment horizontal="right" vertical="center"/>
    </xf>
    <xf numFmtId="180" fontId="25" fillId="5" borderId="3" xfId="1" applyNumberFormat="1" applyFont="1" applyFill="1" applyBorder="1" applyAlignment="1">
      <alignment horizontal="right" vertical="center"/>
    </xf>
    <xf numFmtId="180" fontId="25" fillId="5" borderId="11" xfId="1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right" vertical="center"/>
    </xf>
    <xf numFmtId="180" fontId="15" fillId="3" borderId="23" xfId="4" applyNumberFormat="1" applyFont="1" applyFill="1" applyBorder="1">
      <alignment vertical="center"/>
    </xf>
    <xf numFmtId="180" fontId="15" fillId="3" borderId="70" xfId="4" applyNumberFormat="1" applyFont="1" applyFill="1" applyBorder="1">
      <alignment vertical="center"/>
    </xf>
    <xf numFmtId="180" fontId="16" fillId="3" borderId="11" xfId="4" applyNumberFormat="1" applyFont="1" applyFill="1" applyBorder="1">
      <alignment vertical="center"/>
    </xf>
    <xf numFmtId="180" fontId="16" fillId="3" borderId="3" xfId="4" applyNumberFormat="1" applyFont="1" applyFill="1" applyBorder="1">
      <alignment vertical="center"/>
    </xf>
    <xf numFmtId="180" fontId="16" fillId="3" borderId="67" xfId="4" applyNumberFormat="1" applyFont="1" applyFill="1" applyBorder="1">
      <alignment vertical="center"/>
    </xf>
    <xf numFmtId="180" fontId="16" fillId="3" borderId="5" xfId="4" applyNumberFormat="1" applyFont="1" applyFill="1" applyBorder="1">
      <alignment vertical="center"/>
    </xf>
    <xf numFmtId="180" fontId="15" fillId="3" borderId="24" xfId="4" applyNumberFormat="1" applyFont="1" applyFill="1" applyBorder="1">
      <alignment vertical="center"/>
    </xf>
    <xf numFmtId="0" fontId="1" fillId="0" borderId="0" xfId="5">
      <alignment vertical="center"/>
    </xf>
    <xf numFmtId="178" fontId="16" fillId="0" borderId="33" xfId="4" applyNumberFormat="1" applyFont="1" applyBorder="1" applyAlignment="1">
      <alignment horizontal="center" vertical="center"/>
    </xf>
    <xf numFmtId="0" fontId="16" fillId="0" borderId="19" xfId="4" applyFont="1" applyBorder="1" applyAlignment="1">
      <alignment horizontal="center" vertical="center"/>
    </xf>
    <xf numFmtId="180" fontId="16" fillId="0" borderId="19" xfId="4" applyNumberFormat="1" applyFont="1" applyBorder="1">
      <alignment vertical="center"/>
    </xf>
    <xf numFmtId="180" fontId="16" fillId="0" borderId="2" xfId="4" applyNumberFormat="1" applyFont="1" applyBorder="1">
      <alignment vertical="center"/>
    </xf>
    <xf numFmtId="180" fontId="16" fillId="0" borderId="66" xfId="4" applyNumberFormat="1" applyFont="1" applyBorder="1">
      <alignment vertical="center"/>
    </xf>
    <xf numFmtId="180" fontId="16" fillId="0" borderId="34" xfId="4" applyNumberFormat="1" applyFont="1" applyBorder="1">
      <alignment vertical="center"/>
    </xf>
    <xf numFmtId="180" fontId="15" fillId="0" borderId="66" xfId="4" applyNumberFormat="1" applyFont="1" applyBorder="1">
      <alignment vertical="center"/>
    </xf>
    <xf numFmtId="0" fontId="16" fillId="0" borderId="7" xfId="4" applyFont="1" applyBorder="1" applyAlignment="1">
      <alignment horizontal="center" vertical="center"/>
    </xf>
    <xf numFmtId="0" fontId="16" fillId="0" borderId="19" xfId="4" applyFont="1" applyBorder="1" applyAlignment="1">
      <alignment horizontal="center" vertical="center" shrinkToFit="1"/>
    </xf>
    <xf numFmtId="180" fontId="15" fillId="6" borderId="66" xfId="4" applyNumberFormat="1" applyFont="1" applyFill="1" applyBorder="1">
      <alignment vertical="center"/>
    </xf>
    <xf numFmtId="178" fontId="16" fillId="0" borderId="7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180" fontId="16" fillId="0" borderId="11" xfId="0" applyNumberFormat="1" applyFont="1" applyBorder="1" applyAlignment="1">
      <alignment vertical="center" wrapText="1"/>
    </xf>
    <xf numFmtId="180" fontId="16" fillId="0" borderId="3" xfId="0" applyNumberFormat="1" applyFont="1" applyBorder="1" applyAlignment="1">
      <alignment vertical="center" wrapText="1"/>
    </xf>
    <xf numFmtId="180" fontId="16" fillId="0" borderId="67" xfId="0" applyNumberFormat="1" applyFont="1" applyBorder="1" applyAlignment="1">
      <alignment vertical="center" wrapText="1"/>
    </xf>
    <xf numFmtId="180" fontId="16" fillId="0" borderId="5" xfId="0" applyNumberFormat="1" applyFont="1" applyBorder="1" applyAlignment="1">
      <alignment vertical="center" wrapText="1"/>
    </xf>
    <xf numFmtId="0" fontId="15" fillId="0" borderId="39" xfId="4" applyFont="1" applyBorder="1" applyAlignment="1">
      <alignment horizontal="center" vertical="center"/>
    </xf>
    <xf numFmtId="180" fontId="16" fillId="3" borderId="19" xfId="4" applyNumberFormat="1" applyFont="1" applyFill="1" applyBorder="1">
      <alignment vertical="center"/>
    </xf>
    <xf numFmtId="180" fontId="16" fillId="3" borderId="2" xfId="4" applyNumberFormat="1" applyFont="1" applyFill="1" applyBorder="1">
      <alignment vertical="center"/>
    </xf>
    <xf numFmtId="180" fontId="16" fillId="3" borderId="66" xfId="4" applyNumberFormat="1" applyFont="1" applyFill="1" applyBorder="1">
      <alignment vertical="center"/>
    </xf>
    <xf numFmtId="180" fontId="16" fillId="3" borderId="34" xfId="4" applyNumberFormat="1" applyFont="1" applyFill="1" applyBorder="1">
      <alignment vertical="center"/>
    </xf>
    <xf numFmtId="0" fontId="15" fillId="0" borderId="36" xfId="4" applyFont="1" applyBorder="1" applyAlignment="1">
      <alignment horizontal="center" vertical="center"/>
    </xf>
    <xf numFmtId="178" fontId="16" fillId="0" borderId="2" xfId="4" applyNumberFormat="1" applyFont="1" applyBorder="1" applyAlignment="1">
      <alignment horizontal="center" vertical="center"/>
    </xf>
    <xf numFmtId="0" fontId="15" fillId="0" borderId="6" xfId="4" applyFont="1" applyBorder="1" applyAlignment="1">
      <alignment horizontal="center" vertical="top"/>
    </xf>
    <xf numFmtId="0" fontId="16" fillId="0" borderId="35" xfId="0" applyFont="1" applyBorder="1" applyAlignment="1">
      <alignment horizontal="center" vertical="center"/>
    </xf>
    <xf numFmtId="180" fontId="16" fillId="0" borderId="19" xfId="0" applyNumberFormat="1" applyFont="1" applyBorder="1">
      <alignment vertical="center"/>
    </xf>
    <xf numFmtId="180" fontId="16" fillId="0" borderId="2" xfId="0" applyNumberFormat="1" applyFont="1" applyBorder="1">
      <alignment vertical="center"/>
    </xf>
    <xf numFmtId="180" fontId="16" fillId="0" borderId="66" xfId="0" applyNumberFormat="1" applyFont="1" applyBorder="1">
      <alignment vertical="center"/>
    </xf>
    <xf numFmtId="180" fontId="16" fillId="0" borderId="34" xfId="0" applyNumberFormat="1" applyFont="1" applyBorder="1">
      <alignment vertical="center"/>
    </xf>
    <xf numFmtId="0" fontId="15" fillId="0" borderId="39" xfId="4" applyFont="1" applyBorder="1" applyAlignment="1">
      <alignment horizontal="center" vertical="center" wrapText="1"/>
    </xf>
    <xf numFmtId="0" fontId="15" fillId="0" borderId="6" xfId="4" applyFont="1" applyBorder="1" applyAlignment="1">
      <alignment horizontal="center" vertical="center" wrapText="1"/>
    </xf>
    <xf numFmtId="0" fontId="15" fillId="0" borderId="36" xfId="4" applyFont="1" applyBorder="1" applyAlignment="1">
      <alignment horizontal="center" vertical="center" wrapText="1"/>
    </xf>
    <xf numFmtId="178" fontId="16" fillId="0" borderId="3" xfId="4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180" fontId="16" fillId="3" borderId="11" xfId="0" applyNumberFormat="1" applyFont="1" applyFill="1" applyBorder="1">
      <alignment vertical="center"/>
    </xf>
    <xf numFmtId="180" fontId="16" fillId="3" borderId="3" xfId="0" applyNumberFormat="1" applyFont="1" applyFill="1" applyBorder="1">
      <alignment vertical="center"/>
    </xf>
    <xf numFmtId="180" fontId="16" fillId="3" borderId="67" xfId="0" applyNumberFormat="1" applyFont="1" applyFill="1" applyBorder="1">
      <alignment vertical="center"/>
    </xf>
    <xf numFmtId="180" fontId="16" fillId="3" borderId="5" xfId="0" applyNumberFormat="1" applyFont="1" applyFill="1" applyBorder="1">
      <alignment vertical="center"/>
    </xf>
    <xf numFmtId="0" fontId="16" fillId="0" borderId="28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180" fontId="16" fillId="0" borderId="42" xfId="0" applyNumberFormat="1" applyFont="1" applyBorder="1">
      <alignment vertical="center"/>
    </xf>
    <xf numFmtId="180" fontId="16" fillId="0" borderId="43" xfId="0" applyNumberFormat="1" applyFont="1" applyBorder="1">
      <alignment vertical="center"/>
    </xf>
    <xf numFmtId="180" fontId="16" fillId="0" borderId="68" xfId="0" applyNumberFormat="1" applyFont="1" applyBorder="1">
      <alignment vertical="center"/>
    </xf>
    <xf numFmtId="180" fontId="16" fillId="0" borderId="71" xfId="0" applyNumberFormat="1" applyFont="1" applyBorder="1">
      <alignment vertical="center"/>
    </xf>
    <xf numFmtId="180" fontId="15" fillId="0" borderId="65" xfId="4" applyNumberFormat="1" applyFont="1" applyBorder="1">
      <alignment vertical="center"/>
    </xf>
    <xf numFmtId="0" fontId="15" fillId="0" borderId="14" xfId="5" applyFont="1" applyBorder="1">
      <alignment vertical="center"/>
    </xf>
    <xf numFmtId="0" fontId="15" fillId="0" borderId="0" xfId="5" applyFont="1">
      <alignment vertical="center"/>
    </xf>
    <xf numFmtId="180" fontId="15" fillId="0" borderId="0" xfId="5" applyNumberFormat="1" applyFont="1" applyAlignment="1">
      <alignment horizontal="center" vertical="center"/>
    </xf>
    <xf numFmtId="180" fontId="15" fillId="0" borderId="0" xfId="5" applyNumberFormat="1" applyFont="1" applyAlignment="1">
      <alignment horizontal="left" vertical="center" wrapText="1"/>
    </xf>
    <xf numFmtId="0" fontId="1" fillId="0" borderId="36" xfId="5" applyBorder="1">
      <alignment vertical="center"/>
    </xf>
    <xf numFmtId="0" fontId="11" fillId="0" borderId="0" xfId="5" applyFont="1">
      <alignment vertical="center"/>
    </xf>
    <xf numFmtId="183" fontId="16" fillId="0" borderId="14" xfId="5" applyNumberFormat="1" applyFont="1" applyBorder="1">
      <alignment vertical="center"/>
    </xf>
    <xf numFmtId="0" fontId="16" fillId="0" borderId="14" xfId="0" applyFont="1" applyBorder="1">
      <alignment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16" fillId="0" borderId="44" xfId="0" applyFont="1" applyBorder="1">
      <alignment vertical="center"/>
    </xf>
    <xf numFmtId="0" fontId="6" fillId="0" borderId="0" xfId="0" applyFont="1">
      <alignment vertical="center"/>
    </xf>
    <xf numFmtId="180" fontId="1" fillId="0" borderId="0" xfId="5" applyNumberFormat="1">
      <alignment vertical="center"/>
    </xf>
    <xf numFmtId="41" fontId="17" fillId="0" borderId="38" xfId="1" applyFont="1" applyFill="1" applyBorder="1" applyAlignment="1">
      <alignment horizontal="left" vertical="center" wrapText="1"/>
    </xf>
    <xf numFmtId="41" fontId="17" fillId="0" borderId="11" xfId="1" applyFont="1" applyFill="1" applyBorder="1" applyAlignment="1">
      <alignment horizontal="left" vertical="center" wrapText="1"/>
    </xf>
    <xf numFmtId="0" fontId="15" fillId="0" borderId="0" xfId="5" applyFont="1" applyAlignment="1">
      <alignment horizontal="left" vertical="center" wrapText="1"/>
    </xf>
    <xf numFmtId="180" fontId="17" fillId="0" borderId="2" xfId="1" applyNumberFormat="1" applyFont="1" applyFill="1" applyBorder="1" applyAlignment="1">
      <alignment vertical="center"/>
    </xf>
    <xf numFmtId="0" fontId="0" fillId="0" borderId="0" xfId="5" applyFont="1">
      <alignment vertical="center"/>
    </xf>
    <xf numFmtId="41" fontId="17" fillId="0" borderId="50" xfId="0" applyNumberFormat="1" applyFont="1" applyFill="1" applyBorder="1" applyAlignment="1">
      <alignment vertical="center"/>
    </xf>
    <xf numFmtId="0" fontId="0" fillId="0" borderId="18" xfId="0" applyFont="1" applyFill="1" applyBorder="1" applyAlignment="1">
      <alignment horizontal="center" vertical="center"/>
    </xf>
    <xf numFmtId="0" fontId="17" fillId="0" borderId="18" xfId="1" applyNumberFormat="1" applyFont="1" applyFill="1" applyBorder="1" applyAlignment="1">
      <alignment vertical="center"/>
    </xf>
    <xf numFmtId="41" fontId="15" fillId="0" borderId="39" xfId="1" applyFont="1" applyFill="1" applyBorder="1" applyAlignment="1">
      <alignment horizontal="center" vertical="top"/>
    </xf>
    <xf numFmtId="41" fontId="15" fillId="0" borderId="6" xfId="1" applyFont="1" applyFill="1" applyBorder="1" applyAlignment="1">
      <alignment horizontal="center" vertical="top"/>
    </xf>
    <xf numFmtId="41" fontId="16" fillId="3" borderId="3" xfId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41" fontId="21" fillId="0" borderId="0" xfId="1" applyFont="1" applyFill="1" applyBorder="1" applyAlignment="1">
      <alignment horizontal="center" vertical="center"/>
    </xf>
    <xf numFmtId="0" fontId="15" fillId="0" borderId="6" xfId="4" applyFont="1" applyBorder="1" applyAlignment="1">
      <alignment horizontal="center" vertical="top" wrapText="1"/>
    </xf>
    <xf numFmtId="180" fontId="17" fillId="5" borderId="7" xfId="0" applyNumberFormat="1" applyFont="1" applyFill="1" applyBorder="1" applyAlignment="1">
      <alignment horizontal="right" vertical="center"/>
    </xf>
    <xf numFmtId="0" fontId="15" fillId="0" borderId="6" xfId="4" applyFont="1" applyBorder="1" applyAlignment="1">
      <alignment horizontal="center" vertical="top" wrapText="1"/>
    </xf>
    <xf numFmtId="41" fontId="15" fillId="0" borderId="6" xfId="1" applyFont="1" applyFill="1" applyBorder="1" applyAlignment="1">
      <alignment horizontal="center" vertical="top"/>
    </xf>
    <xf numFmtId="180" fontId="27" fillId="3" borderId="25" xfId="4" applyNumberFormat="1" applyFont="1" applyFill="1" applyBorder="1">
      <alignment vertical="center"/>
    </xf>
    <xf numFmtId="180" fontId="27" fillId="3" borderId="22" xfId="4" applyNumberFormat="1" applyFont="1" applyFill="1" applyBorder="1">
      <alignment vertical="center"/>
    </xf>
    <xf numFmtId="180" fontId="27" fillId="3" borderId="23" xfId="4" applyNumberFormat="1" applyFont="1" applyFill="1" applyBorder="1">
      <alignment vertical="center"/>
    </xf>
    <xf numFmtId="180" fontId="26" fillId="3" borderId="61" xfId="4" applyNumberFormat="1" applyFont="1" applyFill="1" applyBorder="1">
      <alignment vertical="center"/>
    </xf>
    <xf numFmtId="180" fontId="26" fillId="3" borderId="70" xfId="4" applyNumberFormat="1" applyFont="1" applyFill="1" applyBorder="1">
      <alignment vertical="center"/>
    </xf>
    <xf numFmtId="180" fontId="27" fillId="3" borderId="70" xfId="4" applyNumberFormat="1" applyFont="1" applyFill="1" applyBorder="1">
      <alignment vertical="center"/>
    </xf>
    <xf numFmtId="180" fontId="15" fillId="3" borderId="25" xfId="1" applyNumberFormat="1" applyFont="1" applyFill="1" applyBorder="1" applyAlignment="1">
      <alignment horizontal="right" vertical="center"/>
    </xf>
    <xf numFmtId="180" fontId="15" fillId="3" borderId="61" xfId="1" applyNumberFormat="1" applyFont="1" applyFill="1" applyBorder="1" applyAlignment="1">
      <alignment horizontal="right" vertical="center"/>
    </xf>
    <xf numFmtId="180" fontId="15" fillId="3" borderId="70" xfId="1" applyNumberFormat="1" applyFont="1" applyFill="1" applyBorder="1" applyAlignment="1">
      <alignment horizontal="right" vertical="center"/>
    </xf>
    <xf numFmtId="180" fontId="12" fillId="0" borderId="0" xfId="5" applyNumberFormat="1" applyFont="1">
      <alignment vertical="center"/>
    </xf>
    <xf numFmtId="180" fontId="16" fillId="3" borderId="51" xfId="4" applyNumberFormat="1" applyFont="1" applyFill="1" applyBorder="1">
      <alignment vertical="center"/>
    </xf>
    <xf numFmtId="180" fontId="15" fillId="3" borderId="13" xfId="1" applyNumberFormat="1" applyFont="1" applyFill="1" applyBorder="1" applyAlignment="1">
      <alignment horizontal="right" vertical="center"/>
    </xf>
    <xf numFmtId="180" fontId="15" fillId="3" borderId="72" xfId="1" applyNumberFormat="1" applyFont="1" applyFill="1" applyBorder="1" applyAlignment="1">
      <alignment horizontal="right" vertical="center"/>
    </xf>
    <xf numFmtId="180" fontId="15" fillId="3" borderId="32" xfId="1" applyNumberFormat="1" applyFont="1" applyFill="1" applyBorder="1" applyAlignment="1">
      <alignment horizontal="right" vertical="center"/>
    </xf>
    <xf numFmtId="180" fontId="16" fillId="0" borderId="57" xfId="4" applyNumberFormat="1" applyFont="1" applyBorder="1">
      <alignment vertical="center"/>
    </xf>
    <xf numFmtId="180" fontId="16" fillId="3" borderId="19" xfId="1" applyNumberFormat="1" applyFont="1" applyFill="1" applyBorder="1" applyAlignment="1">
      <alignment horizontal="right" vertical="center"/>
    </xf>
    <xf numFmtId="180" fontId="16" fillId="3" borderId="57" xfId="1" applyNumberFormat="1" applyFont="1" applyFill="1" applyBorder="1" applyAlignment="1">
      <alignment horizontal="right" vertical="center"/>
    </xf>
    <xf numFmtId="180" fontId="16" fillId="3" borderId="34" xfId="1" applyNumberFormat="1" applyFont="1" applyFill="1" applyBorder="1" applyAlignment="1">
      <alignment horizontal="right" vertical="center"/>
    </xf>
    <xf numFmtId="180" fontId="16" fillId="0" borderId="19" xfId="1" applyNumberFormat="1" applyFont="1" applyFill="1" applyBorder="1" applyAlignment="1">
      <alignment horizontal="right" vertical="center"/>
    </xf>
    <xf numFmtId="180" fontId="16" fillId="0" borderId="57" xfId="1" applyNumberFormat="1" applyFont="1" applyFill="1" applyBorder="1" applyAlignment="1">
      <alignment horizontal="right" vertical="center"/>
    </xf>
    <xf numFmtId="180" fontId="16" fillId="0" borderId="34" xfId="1" applyNumberFormat="1" applyFont="1" applyFill="1" applyBorder="1" applyAlignment="1">
      <alignment horizontal="right" vertical="center"/>
    </xf>
    <xf numFmtId="0" fontId="16" fillId="0" borderId="35" xfId="4" applyFont="1" applyBorder="1" applyAlignment="1">
      <alignment horizontal="center" vertical="center" shrinkToFit="1"/>
    </xf>
    <xf numFmtId="180" fontId="16" fillId="0" borderId="2" xfId="1" applyNumberFormat="1" applyFont="1" applyFill="1" applyBorder="1" applyAlignment="1">
      <alignment horizontal="right" vertical="center"/>
    </xf>
    <xf numFmtId="180" fontId="16" fillId="3" borderId="11" xfId="1" applyNumberFormat="1" applyFont="1" applyFill="1" applyBorder="1" applyAlignment="1">
      <alignment horizontal="right" vertical="center" shrinkToFit="1"/>
    </xf>
    <xf numFmtId="180" fontId="16" fillId="3" borderId="3" xfId="1" applyNumberFormat="1" applyFont="1" applyFill="1" applyBorder="1" applyAlignment="1">
      <alignment horizontal="right" vertical="center" shrinkToFit="1"/>
    </xf>
    <xf numFmtId="180" fontId="16" fillId="3" borderId="51" xfId="1" applyNumberFormat="1" applyFont="1" applyFill="1" applyBorder="1" applyAlignment="1">
      <alignment horizontal="right" vertical="center" shrinkToFit="1"/>
    </xf>
    <xf numFmtId="180" fontId="16" fillId="3" borderId="5" xfId="1" applyNumberFormat="1" applyFont="1" applyFill="1" applyBorder="1" applyAlignment="1">
      <alignment horizontal="right" vertical="center" shrinkToFit="1"/>
    </xf>
    <xf numFmtId="180" fontId="16" fillId="0" borderId="11" xfId="1" applyNumberFormat="1" applyFont="1" applyFill="1" applyBorder="1" applyAlignment="1">
      <alignment horizontal="right" vertical="center" shrinkToFit="1"/>
    </xf>
    <xf numFmtId="180" fontId="16" fillId="0" borderId="3" xfId="1" applyNumberFormat="1" applyFont="1" applyFill="1" applyBorder="1" applyAlignment="1">
      <alignment horizontal="right" vertical="center" shrinkToFit="1"/>
    </xf>
    <xf numFmtId="180" fontId="16" fillId="0" borderId="51" xfId="1" applyNumberFormat="1" applyFont="1" applyFill="1" applyBorder="1" applyAlignment="1">
      <alignment horizontal="right" vertical="center" shrinkToFit="1"/>
    </xf>
    <xf numFmtId="180" fontId="16" fillId="0" borderId="5" xfId="1" applyNumberFormat="1" applyFont="1" applyFill="1" applyBorder="1" applyAlignment="1">
      <alignment horizontal="right" vertical="center" shrinkToFit="1"/>
    </xf>
    <xf numFmtId="180" fontId="16" fillId="0" borderId="11" xfId="1" applyNumberFormat="1" applyFont="1" applyFill="1" applyBorder="1" applyAlignment="1">
      <alignment horizontal="right" vertical="center"/>
    </xf>
    <xf numFmtId="180" fontId="16" fillId="0" borderId="3" xfId="1" applyNumberFormat="1" applyFont="1" applyFill="1" applyBorder="1" applyAlignment="1">
      <alignment horizontal="right" vertical="center"/>
    </xf>
    <xf numFmtId="180" fontId="16" fillId="0" borderId="51" xfId="1" applyNumberFormat="1" applyFont="1" applyFill="1" applyBorder="1" applyAlignment="1">
      <alignment horizontal="right" vertical="center"/>
    </xf>
    <xf numFmtId="180" fontId="16" fillId="0" borderId="5" xfId="1" applyNumberFormat="1" applyFont="1" applyFill="1" applyBorder="1" applyAlignment="1">
      <alignment horizontal="right" vertical="center"/>
    </xf>
    <xf numFmtId="180" fontId="16" fillId="3" borderId="11" xfId="1" applyNumberFormat="1" applyFont="1" applyFill="1" applyBorder="1" applyAlignment="1">
      <alignment horizontal="right" vertical="center"/>
    </xf>
    <xf numFmtId="180" fontId="16" fillId="3" borderId="3" xfId="1" applyNumberFormat="1" applyFont="1" applyFill="1" applyBorder="1" applyAlignment="1">
      <alignment horizontal="right" vertical="center"/>
    </xf>
    <xf numFmtId="180" fontId="16" fillId="3" borderId="51" xfId="1" applyNumberFormat="1" applyFont="1" applyFill="1" applyBorder="1" applyAlignment="1">
      <alignment horizontal="right" vertical="center"/>
    </xf>
    <xf numFmtId="180" fontId="16" fillId="3" borderId="5" xfId="1" applyNumberFormat="1" applyFont="1" applyFill="1" applyBorder="1" applyAlignment="1">
      <alignment horizontal="right" vertical="center"/>
    </xf>
    <xf numFmtId="180" fontId="16" fillId="0" borderId="38" xfId="1" applyNumberFormat="1" applyFont="1" applyFill="1" applyBorder="1" applyAlignment="1">
      <alignment horizontal="right" vertical="center" shrinkToFit="1"/>
    </xf>
    <xf numFmtId="180" fontId="16" fillId="0" borderId="33" xfId="1" applyNumberFormat="1" applyFont="1" applyFill="1" applyBorder="1" applyAlignment="1">
      <alignment horizontal="right" vertical="center" shrinkToFit="1"/>
    </xf>
    <xf numFmtId="180" fontId="16" fillId="0" borderId="52" xfId="1" applyNumberFormat="1" applyFont="1" applyFill="1" applyBorder="1" applyAlignment="1">
      <alignment horizontal="right" vertical="center" shrinkToFit="1"/>
    </xf>
    <xf numFmtId="180" fontId="16" fillId="0" borderId="17" xfId="1" applyNumberFormat="1" applyFont="1" applyFill="1" applyBorder="1" applyAlignment="1">
      <alignment horizontal="right" vertical="center" shrinkToFit="1"/>
    </xf>
    <xf numFmtId="180" fontId="16" fillId="0" borderId="38" xfId="1" applyNumberFormat="1" applyFont="1" applyFill="1" applyBorder="1" applyAlignment="1">
      <alignment horizontal="right" vertical="center"/>
    </xf>
    <xf numFmtId="180" fontId="16" fillId="0" borderId="33" xfId="1" applyNumberFormat="1" applyFont="1" applyFill="1" applyBorder="1" applyAlignment="1">
      <alignment horizontal="right" vertical="center"/>
    </xf>
    <xf numFmtId="180" fontId="16" fillId="0" borderId="52" xfId="1" applyNumberFormat="1" applyFont="1" applyFill="1" applyBorder="1" applyAlignment="1">
      <alignment horizontal="right" vertical="center"/>
    </xf>
    <xf numFmtId="180" fontId="16" fillId="0" borderId="17" xfId="1" applyNumberFormat="1" applyFont="1" applyFill="1" applyBorder="1" applyAlignment="1">
      <alignment horizontal="right" vertical="center"/>
    </xf>
    <xf numFmtId="0" fontId="16" fillId="0" borderId="2" xfId="4" applyFont="1" applyBorder="1" applyAlignment="1">
      <alignment horizontal="center" vertical="center" shrinkToFit="1"/>
    </xf>
    <xf numFmtId="180" fontId="15" fillId="3" borderId="19" xfId="1" applyNumberFormat="1" applyFont="1" applyFill="1" applyBorder="1" applyAlignment="1">
      <alignment horizontal="right" vertical="center"/>
    </xf>
    <xf numFmtId="180" fontId="15" fillId="3" borderId="2" xfId="1" applyNumberFormat="1" applyFont="1" applyFill="1" applyBorder="1" applyAlignment="1">
      <alignment horizontal="right" vertical="center"/>
    </xf>
    <xf numFmtId="180" fontId="15" fillId="3" borderId="57" xfId="1" applyNumberFormat="1" applyFont="1" applyFill="1" applyBorder="1" applyAlignment="1">
      <alignment horizontal="right" vertical="center"/>
    </xf>
    <xf numFmtId="180" fontId="15" fillId="3" borderId="34" xfId="1" applyNumberFormat="1" applyFont="1" applyFill="1" applyBorder="1" applyAlignment="1">
      <alignment horizontal="right" vertical="center"/>
    </xf>
    <xf numFmtId="180" fontId="16" fillId="3" borderId="2" xfId="1" applyNumberFormat="1" applyFont="1" applyFill="1" applyBorder="1" applyAlignment="1">
      <alignment horizontal="right" vertical="center"/>
    </xf>
    <xf numFmtId="180" fontId="16" fillId="3" borderId="57" xfId="0" applyNumberFormat="1" applyFont="1" applyFill="1" applyBorder="1" applyAlignment="1">
      <alignment vertical="center" wrapText="1"/>
    </xf>
    <xf numFmtId="180" fontId="16" fillId="0" borderId="51" xfId="0" applyNumberFormat="1" applyFont="1" applyBorder="1" applyAlignment="1">
      <alignment vertical="center" wrapText="1"/>
    </xf>
    <xf numFmtId="41" fontId="16" fillId="0" borderId="17" xfId="1" applyFont="1" applyFill="1" applyBorder="1" applyAlignment="1">
      <alignment horizontal="center" vertical="center"/>
    </xf>
    <xf numFmtId="180" fontId="16" fillId="3" borderId="57" xfId="4" applyNumberFormat="1" applyFont="1" applyFill="1" applyBorder="1">
      <alignment vertical="center"/>
    </xf>
    <xf numFmtId="180" fontId="16" fillId="0" borderId="57" xfId="0" applyNumberFormat="1" applyFont="1" applyBorder="1">
      <alignment vertical="center"/>
    </xf>
    <xf numFmtId="180" fontId="16" fillId="0" borderId="11" xfId="1" applyNumberFormat="1" applyFont="1" applyFill="1" applyBorder="1" applyAlignment="1">
      <alignment horizontal="right" vertical="center" wrapText="1"/>
    </xf>
    <xf numFmtId="180" fontId="16" fillId="0" borderId="3" xfId="1" applyNumberFormat="1" applyFont="1" applyFill="1" applyBorder="1" applyAlignment="1">
      <alignment horizontal="right" vertical="center" wrapText="1"/>
    </xf>
    <xf numFmtId="180" fontId="16" fillId="0" borderId="51" xfId="1" applyNumberFormat="1" applyFont="1" applyFill="1" applyBorder="1" applyAlignment="1">
      <alignment horizontal="right" vertical="center" wrapText="1"/>
    </xf>
    <xf numFmtId="180" fontId="16" fillId="0" borderId="5" xfId="1" applyNumberFormat="1" applyFont="1" applyFill="1" applyBorder="1" applyAlignment="1">
      <alignment horizontal="right" vertical="center" wrapText="1"/>
    </xf>
    <xf numFmtId="180" fontId="16" fillId="3" borderId="51" xfId="0" applyNumberFormat="1" applyFont="1" applyFill="1" applyBorder="1">
      <alignment vertical="center"/>
    </xf>
    <xf numFmtId="180" fontId="16" fillId="0" borderId="76" xfId="0" applyNumberFormat="1" applyFont="1" applyBorder="1">
      <alignment vertical="center"/>
    </xf>
    <xf numFmtId="41" fontId="30" fillId="0" borderId="34" xfId="1" applyFont="1" applyFill="1" applyBorder="1" applyAlignment="1">
      <alignment horizontal="center" vertical="center" wrapText="1"/>
    </xf>
    <xf numFmtId="0" fontId="15" fillId="0" borderId="0" xfId="5" applyFont="1" applyAlignment="1">
      <alignment horizontal="left" vertical="center" wrapText="1"/>
    </xf>
    <xf numFmtId="41" fontId="30" fillId="0" borderId="40" xfId="1" applyFont="1" applyFill="1" applyBorder="1" applyAlignment="1">
      <alignment horizontal="center" vertical="center" wrapText="1"/>
    </xf>
    <xf numFmtId="41" fontId="16" fillId="0" borderId="40" xfId="1" applyFont="1" applyFill="1" applyBorder="1" applyAlignment="1">
      <alignment horizontal="center" vertical="center" wrapText="1"/>
    </xf>
    <xf numFmtId="180" fontId="15" fillId="3" borderId="11" xfId="1" applyNumberFormat="1" applyFont="1" applyFill="1" applyBorder="1" applyAlignment="1">
      <alignment horizontal="right" vertical="center"/>
    </xf>
    <xf numFmtId="180" fontId="15" fillId="3" borderId="3" xfId="1" applyNumberFormat="1" applyFont="1" applyFill="1" applyBorder="1" applyAlignment="1">
      <alignment horizontal="right" vertical="center"/>
    </xf>
    <xf numFmtId="180" fontId="15" fillId="3" borderId="51" xfId="1" applyNumberFormat="1" applyFont="1" applyFill="1" applyBorder="1" applyAlignment="1">
      <alignment horizontal="right" vertical="center"/>
    </xf>
    <xf numFmtId="180" fontId="15" fillId="3" borderId="5" xfId="1" applyNumberFormat="1" applyFont="1" applyFill="1" applyBorder="1" applyAlignment="1">
      <alignment horizontal="right" vertical="center"/>
    </xf>
    <xf numFmtId="41" fontId="21" fillId="0" borderId="10" xfId="1" applyFont="1" applyFill="1" applyBorder="1" applyAlignment="1">
      <alignment vertical="center"/>
    </xf>
    <xf numFmtId="41" fontId="21" fillId="0" borderId="10" xfId="1" applyFont="1" applyFill="1" applyBorder="1" applyAlignment="1">
      <alignment horizontal="center" vertical="center"/>
    </xf>
    <xf numFmtId="0" fontId="22" fillId="0" borderId="10" xfId="0" applyFont="1" applyBorder="1">
      <alignment vertical="center"/>
    </xf>
    <xf numFmtId="180" fontId="16" fillId="0" borderId="20" xfId="1" applyNumberFormat="1" applyFont="1" applyFill="1" applyBorder="1" applyAlignment="1">
      <alignment horizontal="right" vertical="center"/>
    </xf>
    <xf numFmtId="180" fontId="16" fillId="0" borderId="9" xfId="1" applyNumberFormat="1" applyFont="1" applyFill="1" applyBorder="1" applyAlignment="1">
      <alignment horizontal="right" vertical="center"/>
    </xf>
    <xf numFmtId="180" fontId="16" fillId="0" borderId="44" xfId="1" applyNumberFormat="1" applyFont="1" applyFill="1" applyBorder="1" applyAlignment="1">
      <alignment horizontal="right" vertical="center"/>
    </xf>
    <xf numFmtId="180" fontId="16" fillId="0" borderId="16" xfId="1" applyNumberFormat="1" applyFont="1" applyFill="1" applyBorder="1" applyAlignment="1">
      <alignment horizontal="right" vertical="center"/>
    </xf>
    <xf numFmtId="0" fontId="16" fillId="0" borderId="73" xfId="0" applyFont="1" applyBorder="1">
      <alignment vertical="center"/>
    </xf>
    <xf numFmtId="41" fontId="21" fillId="0" borderId="73" xfId="1" applyFont="1" applyFill="1" applyBorder="1" applyAlignment="1">
      <alignment vertical="center"/>
    </xf>
    <xf numFmtId="41" fontId="21" fillId="0" borderId="73" xfId="1" applyFont="1" applyFill="1" applyBorder="1" applyAlignment="1">
      <alignment horizontal="center" vertical="center"/>
    </xf>
    <xf numFmtId="0" fontId="22" fillId="0" borderId="73" xfId="0" applyFont="1" applyBorder="1">
      <alignment vertical="center"/>
    </xf>
    <xf numFmtId="179" fontId="5" fillId="0" borderId="73" xfId="1" applyNumberFormat="1" applyFont="1" applyFill="1" applyBorder="1" applyAlignment="1">
      <alignment horizontal="center"/>
    </xf>
    <xf numFmtId="41" fontId="5" fillId="0" borderId="73" xfId="1" applyFont="1" applyFill="1" applyBorder="1" applyAlignment="1">
      <alignment horizontal="center"/>
    </xf>
    <xf numFmtId="41" fontId="5" fillId="0" borderId="73" xfId="1" applyFont="1" applyFill="1" applyBorder="1" applyAlignment="1">
      <alignment horizontal="right"/>
    </xf>
    <xf numFmtId="0" fontId="11" fillId="0" borderId="73" xfId="5" applyFont="1" applyBorder="1">
      <alignment vertical="center"/>
    </xf>
    <xf numFmtId="41" fontId="6" fillId="0" borderId="0" xfId="1" applyFont="1" applyFill="1" applyBorder="1" applyAlignment="1">
      <alignment horizontal="center"/>
    </xf>
    <xf numFmtId="41" fontId="6" fillId="0" borderId="0" xfId="1" applyFont="1" applyFill="1" applyBorder="1" applyAlignment="1">
      <alignment horizontal="right"/>
    </xf>
    <xf numFmtId="41" fontId="1" fillId="0" borderId="0" xfId="1" applyFont="1" applyFill="1" applyBorder="1" applyAlignment="1">
      <alignment horizontal="center"/>
    </xf>
    <xf numFmtId="41" fontId="1" fillId="0" borderId="0" xfId="1" applyFont="1" applyFill="1" applyBorder="1" applyAlignment="1">
      <alignment horizontal="right"/>
    </xf>
    <xf numFmtId="41" fontId="1" fillId="0" borderId="0" xfId="1" applyFont="1" applyFill="1" applyBorder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17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47" xfId="0" applyFont="1" applyBorder="1" applyAlignment="1" applyProtection="1">
      <alignment horizontal="center" vertical="center" wrapText="1"/>
      <protection locked="0"/>
    </xf>
    <xf numFmtId="180" fontId="17" fillId="0" borderId="77" xfId="1" applyNumberFormat="1" applyFont="1" applyFill="1" applyBorder="1" applyAlignment="1">
      <alignment horizontal="right" vertical="center"/>
    </xf>
    <xf numFmtId="181" fontId="17" fillId="0" borderId="30" xfId="0" applyNumberFormat="1" applyFont="1" applyBorder="1">
      <alignment vertical="center"/>
    </xf>
    <xf numFmtId="180" fontId="17" fillId="0" borderId="2" xfId="1" applyNumberFormat="1" applyFont="1" applyFill="1" applyBorder="1" applyAlignment="1">
      <alignment horizontal="right" vertical="center"/>
    </xf>
    <xf numFmtId="177" fontId="17" fillId="0" borderId="11" xfId="0" applyNumberFormat="1" applyFont="1" applyBorder="1">
      <alignment vertical="center"/>
    </xf>
    <xf numFmtId="0" fontId="17" fillId="0" borderId="14" xfId="0" applyFont="1" applyBorder="1" applyAlignment="1">
      <alignment vertical="center" wrapText="1"/>
    </xf>
    <xf numFmtId="0" fontId="17" fillId="0" borderId="19" xfId="0" applyFont="1" applyBorder="1" applyAlignment="1"/>
    <xf numFmtId="0" fontId="17" fillId="0" borderId="28" xfId="0" applyFont="1" applyBorder="1">
      <alignment vertical="center"/>
    </xf>
    <xf numFmtId="0" fontId="17" fillId="0" borderId="11" xfId="0" applyFont="1" applyBorder="1">
      <alignment vertical="center"/>
    </xf>
    <xf numFmtId="0" fontId="17" fillId="0" borderId="7" xfId="0" applyFont="1" applyBorder="1">
      <alignment vertical="center"/>
    </xf>
    <xf numFmtId="0" fontId="17" fillId="0" borderId="35" xfId="0" applyFont="1" applyBorder="1">
      <alignment vertical="center"/>
    </xf>
    <xf numFmtId="177" fontId="17" fillId="0" borderId="19" xfId="0" applyNumberFormat="1" applyFont="1" applyBorder="1">
      <alignment vertical="center"/>
    </xf>
    <xf numFmtId="0" fontId="17" fillId="0" borderId="38" xfId="0" applyFont="1" applyBorder="1" applyAlignment="1">
      <alignment vertical="center" wrapText="1"/>
    </xf>
    <xf numFmtId="177" fontId="17" fillId="0" borderId="38" xfId="0" applyNumberFormat="1" applyFont="1" applyBorder="1" applyAlignment="1">
      <alignment vertical="center" wrapText="1"/>
    </xf>
    <xf numFmtId="0" fontId="17" fillId="0" borderId="51" xfId="0" applyFont="1" applyBorder="1" applyAlignment="1">
      <alignment vertical="center" wrapText="1"/>
    </xf>
    <xf numFmtId="0" fontId="17" fillId="0" borderId="3" xfId="0" applyFont="1" applyBorder="1">
      <alignment vertical="center"/>
    </xf>
    <xf numFmtId="0" fontId="17" fillId="0" borderId="4" xfId="0" applyFont="1" applyBorder="1">
      <alignment vertical="center"/>
    </xf>
    <xf numFmtId="177" fontId="17" fillId="0" borderId="11" xfId="0" applyNumberFormat="1" applyFont="1" applyBorder="1" applyAlignment="1">
      <alignment vertical="center" wrapText="1"/>
    </xf>
    <xf numFmtId="0" fontId="17" fillId="0" borderId="18" xfId="0" applyFont="1" applyBorder="1">
      <alignment vertical="center"/>
    </xf>
    <xf numFmtId="0" fontId="17" fillId="0" borderId="18" xfId="0" applyFont="1" applyBorder="1" applyAlignment="1">
      <alignment vertical="center" wrapText="1"/>
    </xf>
    <xf numFmtId="0" fontId="17" fillId="0" borderId="38" xfId="0" applyFont="1" applyBorder="1">
      <alignment vertical="center"/>
    </xf>
    <xf numFmtId="0" fontId="17" fillId="0" borderId="11" xfId="0" applyFont="1" applyBorder="1" applyAlignment="1">
      <alignment vertical="center" wrapText="1"/>
    </xf>
    <xf numFmtId="0" fontId="17" fillId="0" borderId="28" xfId="0" applyFont="1" applyBorder="1">
      <alignment vertical="center"/>
    </xf>
    <xf numFmtId="177" fontId="17" fillId="0" borderId="28" xfId="0" applyNumberFormat="1" applyFont="1" applyBorder="1" applyAlignment="1">
      <alignment horizontal="left" vertical="center" wrapText="1"/>
    </xf>
    <xf numFmtId="0" fontId="17" fillId="0" borderId="28" xfId="0" applyFont="1" applyBorder="1" applyAlignment="1">
      <alignment vertical="center" wrapText="1"/>
    </xf>
    <xf numFmtId="180" fontId="17" fillId="5" borderId="11" xfId="1" applyNumberFormat="1" applyFont="1" applyFill="1" applyBorder="1" applyAlignment="1">
      <alignment horizontal="right" vertical="center" wrapText="1"/>
    </xf>
    <xf numFmtId="180" fontId="17" fillId="0" borderId="3" xfId="1" applyNumberFormat="1" applyFont="1" applyFill="1" applyBorder="1" applyAlignment="1">
      <alignment horizontal="right" vertical="center" wrapText="1"/>
    </xf>
    <xf numFmtId="180" fontId="17" fillId="0" borderId="11" xfId="1" applyNumberFormat="1" applyFont="1" applyFill="1" applyBorder="1" applyAlignment="1">
      <alignment horizontal="right" vertical="center" wrapText="1"/>
    </xf>
    <xf numFmtId="177" fontId="17" fillId="0" borderId="19" xfId="0" applyNumberFormat="1" applyFont="1" applyBorder="1" applyAlignment="1">
      <alignment horizontal="left" vertical="center" wrapText="1"/>
    </xf>
    <xf numFmtId="0" fontId="17" fillId="0" borderId="52" xfId="0" applyFont="1" applyBorder="1">
      <alignment vertical="center"/>
    </xf>
    <xf numFmtId="0" fontId="17" fillId="0" borderId="51" xfId="0" applyFont="1" applyBorder="1">
      <alignment vertical="center"/>
    </xf>
    <xf numFmtId="0" fontId="17" fillId="0" borderId="2" xfId="0" applyFont="1" applyBorder="1">
      <alignment vertical="center"/>
    </xf>
    <xf numFmtId="0" fontId="17" fillId="0" borderId="18" xfId="0" applyFont="1" applyBorder="1">
      <alignment vertical="center"/>
    </xf>
    <xf numFmtId="0" fontId="17" fillId="0" borderId="14" xfId="0" applyFont="1" applyBorder="1">
      <alignment vertical="center"/>
    </xf>
    <xf numFmtId="0" fontId="17" fillId="0" borderId="33" xfId="0" applyFont="1" applyBorder="1">
      <alignment vertical="center"/>
    </xf>
    <xf numFmtId="180" fontId="17" fillId="0" borderId="38" xfId="1" applyNumberFormat="1" applyFont="1" applyFill="1" applyBorder="1" applyAlignment="1">
      <alignment horizontal="right" vertical="center" wrapText="1"/>
    </xf>
    <xf numFmtId="177" fontId="17" fillId="0" borderId="28" xfId="0" applyNumberFormat="1" applyFont="1" applyBorder="1" applyAlignment="1">
      <alignment vertical="center" wrapText="1"/>
    </xf>
    <xf numFmtId="0" fontId="17" fillId="0" borderId="6" xfId="0" applyFont="1" applyBorder="1">
      <alignment vertical="center"/>
    </xf>
    <xf numFmtId="177" fontId="17" fillId="0" borderId="38" xfId="0" applyNumberFormat="1" applyFont="1" applyBorder="1">
      <alignment vertical="center"/>
    </xf>
    <xf numFmtId="177" fontId="17" fillId="0" borderId="28" xfId="0" applyNumberFormat="1" applyFont="1" applyBorder="1">
      <alignment vertical="center"/>
    </xf>
    <xf numFmtId="0" fontId="17" fillId="0" borderId="36" xfId="0" applyFont="1" applyBorder="1">
      <alignment vertical="center"/>
    </xf>
    <xf numFmtId="180" fontId="17" fillId="0" borderId="7" xfId="1" applyNumberFormat="1" applyFont="1" applyFill="1" applyBorder="1" applyAlignment="1">
      <alignment horizontal="right" vertical="center"/>
    </xf>
    <xf numFmtId="0" fontId="17" fillId="0" borderId="8" xfId="0" applyFont="1" applyBorder="1">
      <alignment vertical="center"/>
    </xf>
    <xf numFmtId="0" fontId="17" fillId="0" borderId="9" xfId="0" applyFont="1" applyBorder="1">
      <alignment vertical="center"/>
    </xf>
    <xf numFmtId="0" fontId="17" fillId="0" borderId="20" xfId="0" applyFont="1" applyBorder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horizontal="left" vertical="center"/>
    </xf>
    <xf numFmtId="180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41" fontId="4" fillId="0" borderId="0" xfId="1" applyFont="1" applyFill="1" applyBorder="1" applyAlignment="1">
      <alignment horizontal="right" vertical="center"/>
    </xf>
    <xf numFmtId="0" fontId="17" fillId="0" borderId="54" xfId="0" applyFont="1" applyBorder="1" applyAlignment="1">
      <alignment horizontal="center" vertical="center"/>
    </xf>
    <xf numFmtId="0" fontId="17" fillId="0" borderId="55" xfId="0" applyFont="1" applyBorder="1" applyAlignment="1">
      <alignment horizontal="center" vertical="center"/>
    </xf>
    <xf numFmtId="180" fontId="17" fillId="0" borderId="47" xfId="0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18" fillId="0" borderId="41" xfId="0" applyFont="1" applyBorder="1">
      <alignment vertical="center"/>
    </xf>
    <xf numFmtId="180" fontId="17" fillId="4" borderId="33" xfId="0" applyNumberFormat="1" applyFont="1" applyFill="1" applyBorder="1">
      <alignment vertical="center"/>
    </xf>
    <xf numFmtId="180" fontId="17" fillId="5" borderId="33" xfId="0" applyNumberFormat="1" applyFont="1" applyFill="1" applyBorder="1">
      <alignment vertical="center"/>
    </xf>
    <xf numFmtId="180" fontId="17" fillId="5" borderId="38" xfId="0" applyNumberFormat="1" applyFont="1" applyFill="1" applyBorder="1">
      <alignment vertical="center"/>
    </xf>
    <xf numFmtId="180" fontId="17" fillId="0" borderId="38" xfId="0" applyNumberFormat="1" applyFont="1" applyBorder="1">
      <alignment vertical="center"/>
    </xf>
    <xf numFmtId="0" fontId="19" fillId="0" borderId="37" xfId="0" applyFont="1" applyBorder="1" applyAlignment="1">
      <alignment horizontal="center" vertical="center"/>
    </xf>
    <xf numFmtId="0" fontId="17" fillId="0" borderId="37" xfId="0" applyFont="1" applyBorder="1">
      <alignment vertical="center"/>
    </xf>
    <xf numFmtId="180" fontId="17" fillId="4" borderId="28" xfId="0" applyNumberFormat="1" applyFont="1" applyFill="1" applyBorder="1">
      <alignment vertical="center"/>
    </xf>
    <xf numFmtId="180" fontId="17" fillId="5" borderId="28" xfId="0" applyNumberFormat="1" applyFont="1" applyFill="1" applyBorder="1">
      <alignment vertical="center"/>
    </xf>
    <xf numFmtId="180" fontId="17" fillId="0" borderId="28" xfId="0" applyNumberFormat="1" applyFont="1" applyBorder="1">
      <alignment vertical="center"/>
    </xf>
    <xf numFmtId="0" fontId="19" fillId="0" borderId="0" xfId="0" applyFont="1" applyAlignment="1">
      <alignment horizontal="center" vertical="center"/>
    </xf>
    <xf numFmtId="180" fontId="17" fillId="5" borderId="7" xfId="0" applyNumberFormat="1" applyFont="1" applyFill="1" applyBorder="1">
      <alignment vertical="center"/>
    </xf>
    <xf numFmtId="180" fontId="17" fillId="0" borderId="7" xfId="0" applyNumberFormat="1" applyFont="1" applyBorder="1">
      <alignment vertical="center"/>
    </xf>
    <xf numFmtId="180" fontId="17" fillId="4" borderId="11" xfId="0" applyNumberFormat="1" applyFont="1" applyFill="1" applyBorder="1">
      <alignment vertical="center"/>
    </xf>
    <xf numFmtId="180" fontId="17" fillId="5" borderId="11" xfId="0" applyNumberFormat="1" applyFont="1" applyFill="1" applyBorder="1">
      <alignment vertical="center"/>
    </xf>
    <xf numFmtId="180" fontId="17" fillId="0" borderId="11" xfId="0" applyNumberFormat="1" applyFont="1" applyBorder="1">
      <alignment vertical="center"/>
    </xf>
    <xf numFmtId="180" fontId="17" fillId="4" borderId="38" xfId="0" applyNumberFormat="1" applyFont="1" applyFill="1" applyBorder="1">
      <alignment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19" xfId="0" applyFont="1" applyBorder="1">
      <alignment vertical="center"/>
    </xf>
    <xf numFmtId="0" fontId="17" fillId="0" borderId="12" xfId="0" applyFont="1" applyBorder="1">
      <alignment vertical="center"/>
    </xf>
    <xf numFmtId="180" fontId="17" fillId="4" borderId="19" xfId="0" applyNumberFormat="1" applyFont="1" applyFill="1" applyBorder="1">
      <alignment vertical="center"/>
    </xf>
    <xf numFmtId="180" fontId="17" fillId="5" borderId="19" xfId="0" applyNumberFormat="1" applyFont="1" applyFill="1" applyBorder="1">
      <alignment vertical="center"/>
    </xf>
    <xf numFmtId="180" fontId="17" fillId="0" borderId="19" xfId="0" applyNumberFormat="1" applyFont="1" applyBorder="1">
      <alignment vertical="center"/>
    </xf>
    <xf numFmtId="0" fontId="17" fillId="0" borderId="2" xfId="0" applyFont="1" applyBorder="1" applyAlignment="1">
      <alignment vertical="center" wrapText="1"/>
    </xf>
    <xf numFmtId="180" fontId="17" fillId="0" borderId="2" xfId="0" applyNumberFormat="1" applyFont="1" applyBorder="1">
      <alignment vertical="center"/>
    </xf>
    <xf numFmtId="0" fontId="17" fillId="0" borderId="33" xfId="0" applyFont="1" applyBorder="1" applyAlignment="1">
      <alignment vertical="center" wrapText="1"/>
    </xf>
    <xf numFmtId="0" fontId="17" fillId="0" borderId="7" xfId="0" applyFont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0" fontId="17" fillId="0" borderId="7" xfId="0" applyFont="1" applyBorder="1" applyAlignment="1">
      <alignment horizontal="left" vertical="center" wrapText="1"/>
    </xf>
    <xf numFmtId="180" fontId="18" fillId="4" borderId="2" xfId="0" applyNumberFormat="1" applyFont="1" applyFill="1" applyBorder="1">
      <alignment vertical="center"/>
    </xf>
    <xf numFmtId="180" fontId="18" fillId="5" borderId="2" xfId="0" applyNumberFormat="1" applyFont="1" applyFill="1" applyBorder="1">
      <alignment vertical="center"/>
    </xf>
    <xf numFmtId="180" fontId="18" fillId="0" borderId="19" xfId="0" applyNumberFormat="1" applyFont="1" applyBorder="1">
      <alignment vertical="center"/>
    </xf>
    <xf numFmtId="180" fontId="17" fillId="5" borderId="3" xfId="0" applyNumberFormat="1" applyFont="1" applyFill="1" applyBorder="1">
      <alignment vertical="center"/>
    </xf>
    <xf numFmtId="0" fontId="17" fillId="0" borderId="3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80" fontId="17" fillId="0" borderId="3" xfId="0" applyNumberFormat="1" applyFont="1" applyBorder="1">
      <alignment vertical="center"/>
    </xf>
    <xf numFmtId="0" fontId="17" fillId="0" borderId="3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180" fontId="17" fillId="0" borderId="33" xfId="0" applyNumberFormat="1" applyFont="1" applyBorder="1">
      <alignment vertical="center"/>
    </xf>
    <xf numFmtId="0" fontId="17" fillId="0" borderId="2" xfId="0" applyFont="1" applyBorder="1" applyAlignment="1">
      <alignment horizontal="center" vertical="center" wrapText="1"/>
    </xf>
    <xf numFmtId="0" fontId="18" fillId="0" borderId="57" xfId="0" applyFont="1" applyBorder="1">
      <alignment vertical="center"/>
    </xf>
    <xf numFmtId="0" fontId="18" fillId="0" borderId="12" xfId="0" applyFont="1" applyBorder="1" applyAlignment="1">
      <alignment vertical="center" wrapText="1"/>
    </xf>
    <xf numFmtId="180" fontId="18" fillId="4" borderId="19" xfId="0" applyNumberFormat="1" applyFont="1" applyFill="1" applyBorder="1">
      <alignment vertical="center"/>
    </xf>
    <xf numFmtId="180" fontId="18" fillId="5" borderId="19" xfId="0" applyNumberFormat="1" applyFont="1" applyFill="1" applyBorder="1">
      <alignment vertical="center"/>
    </xf>
    <xf numFmtId="180" fontId="18" fillId="4" borderId="38" xfId="0" applyNumberFormat="1" applyFont="1" applyFill="1" applyBorder="1">
      <alignment vertical="center"/>
    </xf>
    <xf numFmtId="180" fontId="18" fillId="5" borderId="38" xfId="0" applyNumberFormat="1" applyFont="1" applyFill="1" applyBorder="1">
      <alignment vertical="center"/>
    </xf>
    <xf numFmtId="0" fontId="17" fillId="0" borderId="39" xfId="0" applyFont="1" applyBorder="1">
      <alignment vertical="center"/>
    </xf>
    <xf numFmtId="0" fontId="17" fillId="0" borderId="39" xfId="0" applyFont="1" applyBorder="1" applyAlignment="1">
      <alignment horizontal="left" vertical="center"/>
    </xf>
    <xf numFmtId="0" fontId="17" fillId="0" borderId="33" xfId="0" applyFont="1" applyBorder="1" applyAlignment="1">
      <alignment horizontal="left" vertical="center"/>
    </xf>
    <xf numFmtId="180" fontId="17" fillId="4" borderId="33" xfId="0" applyNumberFormat="1" applyFont="1" applyFill="1" applyBorder="1" applyAlignment="1">
      <alignment horizontal="right" vertical="center"/>
    </xf>
    <xf numFmtId="180" fontId="17" fillId="5" borderId="33" xfId="0" applyNumberFormat="1" applyFont="1" applyFill="1" applyBorder="1" applyAlignment="1">
      <alignment horizontal="right" vertical="center"/>
    </xf>
    <xf numFmtId="180" fontId="17" fillId="5" borderId="38" xfId="0" applyNumberFormat="1" applyFont="1" applyFill="1" applyBorder="1" applyAlignment="1">
      <alignment horizontal="right" vertical="center"/>
    </xf>
    <xf numFmtId="180" fontId="17" fillId="0" borderId="38" xfId="0" applyNumberFormat="1" applyFont="1" applyBorder="1" applyAlignment="1">
      <alignment horizontal="right" vertical="center"/>
    </xf>
    <xf numFmtId="0" fontId="17" fillId="0" borderId="14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180" fontId="17" fillId="4" borderId="0" xfId="0" applyNumberFormat="1" applyFont="1" applyFill="1" applyAlignment="1">
      <alignment horizontal="right" vertical="center"/>
    </xf>
    <xf numFmtId="180" fontId="17" fillId="5" borderId="0" xfId="0" applyNumberFormat="1" applyFont="1" applyFill="1" applyAlignment="1">
      <alignment horizontal="right" vertical="center"/>
    </xf>
    <xf numFmtId="180" fontId="17" fillId="0" borderId="7" xfId="0" applyNumberFormat="1" applyFont="1" applyBorder="1" applyAlignment="1">
      <alignment horizontal="right" vertical="center"/>
    </xf>
    <xf numFmtId="0" fontId="17" fillId="0" borderId="44" xfId="0" applyFont="1" applyBorder="1" applyAlignment="1">
      <alignment horizontal="left" vertical="center"/>
    </xf>
    <xf numFmtId="0" fontId="17" fillId="0" borderId="9" xfId="0" applyFont="1" applyBorder="1" applyAlignment="1">
      <alignment horizontal="left" vertical="center"/>
    </xf>
    <xf numFmtId="0" fontId="17" fillId="0" borderId="20" xfId="0" applyFont="1" applyBorder="1" applyAlignment="1">
      <alignment horizontal="left" vertical="center"/>
    </xf>
    <xf numFmtId="180" fontId="17" fillId="4" borderId="10" xfId="0" applyNumberFormat="1" applyFont="1" applyFill="1" applyBorder="1" applyAlignment="1">
      <alignment horizontal="right" vertical="center"/>
    </xf>
    <xf numFmtId="180" fontId="17" fillId="5" borderId="10" xfId="0" applyNumberFormat="1" applyFont="1" applyFill="1" applyBorder="1" applyAlignment="1">
      <alignment horizontal="right" vertical="center"/>
    </xf>
    <xf numFmtId="180" fontId="17" fillId="5" borderId="9" xfId="0" applyNumberFormat="1" applyFont="1" applyFill="1" applyBorder="1" applyAlignment="1">
      <alignment horizontal="right" vertical="center"/>
    </xf>
    <xf numFmtId="180" fontId="17" fillId="0" borderId="9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80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20" fillId="0" borderId="35" xfId="0" applyFont="1" applyBorder="1" applyAlignment="1">
      <alignment horizontal="center" vertical="center"/>
    </xf>
    <xf numFmtId="0" fontId="18" fillId="0" borderId="35" xfId="0" applyFont="1" applyBorder="1">
      <alignment vertical="center"/>
    </xf>
    <xf numFmtId="41" fontId="17" fillId="0" borderId="37" xfId="1" applyFont="1" applyFill="1" applyBorder="1" applyAlignment="1">
      <alignment horizontal="left" vertical="center"/>
    </xf>
    <xf numFmtId="41" fontId="17" fillId="0" borderId="0" xfId="1" applyFont="1" applyFill="1" applyBorder="1" applyAlignment="1">
      <alignment horizontal="left" vertical="center"/>
    </xf>
    <xf numFmtId="41" fontId="17" fillId="0" borderId="0" xfId="1" applyFont="1" applyFill="1" applyBorder="1">
      <alignment vertical="center"/>
    </xf>
    <xf numFmtId="41" fontId="17" fillId="0" borderId="10" xfId="1" applyFont="1" applyFill="1" applyBorder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41" fontId="17" fillId="0" borderId="10" xfId="1" applyFont="1" applyFill="1" applyBorder="1">
      <alignment vertical="center"/>
    </xf>
    <xf numFmtId="177" fontId="17" fillId="0" borderId="38" xfId="0" applyNumberFormat="1" applyFont="1" applyBorder="1" applyAlignment="1">
      <alignment horizontal="left" vertical="center" wrapText="1"/>
    </xf>
    <xf numFmtId="177" fontId="17" fillId="0" borderId="11" xfId="0" applyNumberFormat="1" applyFont="1" applyBorder="1" applyAlignment="1">
      <alignment horizontal="left" vertical="center" wrapText="1"/>
    </xf>
    <xf numFmtId="177" fontId="17" fillId="0" borderId="20" xfId="0" applyNumberFormat="1" applyFont="1" applyBorder="1">
      <alignment vertical="center"/>
    </xf>
    <xf numFmtId="180" fontId="17" fillId="4" borderId="19" xfId="1" applyNumberFormat="1" applyFont="1" applyFill="1" applyBorder="1" applyAlignment="1">
      <alignment horizontal="right" vertical="center"/>
    </xf>
    <xf numFmtId="180" fontId="17" fillId="0" borderId="19" xfId="1" applyNumberFormat="1" applyFont="1" applyFill="1" applyBorder="1" applyAlignment="1">
      <alignment horizontal="right" vertical="center"/>
    </xf>
    <xf numFmtId="177" fontId="17" fillId="0" borderId="19" xfId="0" applyNumberFormat="1" applyFont="1" applyBorder="1" applyAlignment="1">
      <alignment vertical="center" wrapText="1"/>
    </xf>
    <xf numFmtId="0" fontId="15" fillId="0" borderId="14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80" fontId="16" fillId="0" borderId="0" xfId="0" applyNumberFormat="1" applyFont="1" applyBorder="1">
      <alignment vertical="center"/>
    </xf>
    <xf numFmtId="180" fontId="15" fillId="0" borderId="0" xfId="4" applyNumberFormat="1" applyFont="1" applyBorder="1">
      <alignment vertical="center"/>
    </xf>
    <xf numFmtId="0" fontId="17" fillId="0" borderId="7" xfId="0" applyFont="1" applyBorder="1" applyAlignment="1">
      <alignment horizontal="center" vertical="center" wrapText="1"/>
    </xf>
    <xf numFmtId="180" fontId="15" fillId="7" borderId="66" xfId="1" applyNumberFormat="1" applyFont="1" applyFill="1" applyBorder="1" applyAlignment="1">
      <alignment horizontal="right" vertical="center"/>
    </xf>
    <xf numFmtId="0" fontId="17" fillId="0" borderId="35" xfId="0" applyNumberFormat="1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18" fillId="0" borderId="18" xfId="0" applyFont="1" applyBorder="1">
      <alignment vertical="center"/>
    </xf>
    <xf numFmtId="41" fontId="0" fillId="0" borderId="0" xfId="0" applyNumberFormat="1" applyFont="1">
      <alignment vertical="center"/>
    </xf>
    <xf numFmtId="0" fontId="17" fillId="0" borderId="35" xfId="0" applyFont="1" applyBorder="1" applyAlignment="1">
      <alignment vertical="center" wrapText="1"/>
    </xf>
    <xf numFmtId="41" fontId="17" fillId="0" borderId="41" xfId="0" applyNumberFormat="1" applyFont="1" applyBorder="1">
      <alignment vertical="center"/>
    </xf>
    <xf numFmtId="0" fontId="17" fillId="0" borderId="0" xfId="0" applyFont="1" applyAlignment="1">
      <alignment vertical="center" wrapText="1"/>
    </xf>
    <xf numFmtId="41" fontId="17" fillId="0" borderId="29" xfId="0" applyNumberFormat="1" applyFont="1" applyBorder="1">
      <alignment vertical="center"/>
    </xf>
    <xf numFmtId="0" fontId="19" fillId="0" borderId="0" xfId="0" applyFont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176" fontId="29" fillId="0" borderId="0" xfId="4" applyNumberFormat="1" applyFont="1" applyAlignment="1">
      <alignment horizontal="center" vertical="center"/>
    </xf>
    <xf numFmtId="0" fontId="15" fillId="3" borderId="27" xfId="4" applyFont="1" applyFill="1" applyBorder="1" applyAlignment="1">
      <alignment horizontal="center" vertical="center"/>
    </xf>
    <xf numFmtId="0" fontId="15" fillId="3" borderId="8" xfId="4" applyFont="1" applyFill="1" applyBorder="1" applyAlignment="1">
      <alignment horizontal="center" vertical="center"/>
    </xf>
    <xf numFmtId="0" fontId="15" fillId="3" borderId="21" xfId="4" applyFont="1" applyFill="1" applyBorder="1" applyAlignment="1">
      <alignment horizontal="center" vertical="center"/>
    </xf>
    <xf numFmtId="0" fontId="15" fillId="3" borderId="9" xfId="4" applyFont="1" applyFill="1" applyBorder="1" applyAlignment="1">
      <alignment horizontal="center" vertical="center"/>
    </xf>
    <xf numFmtId="0" fontId="15" fillId="3" borderId="26" xfId="4" applyFont="1" applyFill="1" applyBorder="1" applyAlignment="1">
      <alignment horizontal="center" vertical="center"/>
    </xf>
    <xf numFmtId="0" fontId="15" fillId="3" borderId="20" xfId="4" applyFont="1" applyFill="1" applyBorder="1" applyAlignment="1">
      <alignment horizontal="center" vertical="center"/>
    </xf>
    <xf numFmtId="0" fontId="15" fillId="3" borderId="24" xfId="4" applyFont="1" applyFill="1" applyBorder="1" applyAlignment="1">
      <alignment horizontal="center" vertical="center"/>
    </xf>
    <xf numFmtId="0" fontId="15" fillId="3" borderId="65" xfId="4" applyFont="1" applyFill="1" applyBorder="1" applyAlignment="1">
      <alignment horizontal="center" vertical="center"/>
    </xf>
    <xf numFmtId="0" fontId="15" fillId="3" borderId="62" xfId="4" applyFont="1" applyFill="1" applyBorder="1" applyAlignment="1">
      <alignment horizontal="center" vertical="center"/>
    </xf>
    <xf numFmtId="0" fontId="15" fillId="3" borderId="44" xfId="4" applyFont="1" applyFill="1" applyBorder="1" applyAlignment="1">
      <alignment horizontal="center" vertical="center"/>
    </xf>
    <xf numFmtId="0" fontId="15" fillId="3" borderId="15" xfId="4" applyFont="1" applyFill="1" applyBorder="1" applyAlignment="1">
      <alignment horizontal="center" vertical="center"/>
    </xf>
    <xf numFmtId="0" fontId="15" fillId="3" borderId="16" xfId="4" applyFont="1" applyFill="1" applyBorder="1" applyAlignment="1">
      <alignment horizontal="center" vertical="center"/>
    </xf>
    <xf numFmtId="41" fontId="15" fillId="3" borderId="15" xfId="1" applyFont="1" applyFill="1" applyBorder="1" applyAlignment="1">
      <alignment horizontal="center" vertical="center"/>
    </xf>
    <xf numFmtId="41" fontId="15" fillId="3" borderId="16" xfId="1" applyFont="1" applyFill="1" applyBorder="1" applyAlignment="1">
      <alignment horizontal="center" vertical="center"/>
    </xf>
    <xf numFmtId="49" fontId="15" fillId="3" borderId="26" xfId="1" applyNumberFormat="1" applyFont="1" applyFill="1" applyBorder="1" applyAlignment="1">
      <alignment horizontal="center" vertical="center"/>
    </xf>
    <xf numFmtId="49" fontId="15" fillId="3" borderId="20" xfId="1" applyNumberFormat="1" applyFont="1" applyFill="1" applyBorder="1" applyAlignment="1">
      <alignment horizontal="center" vertical="center"/>
    </xf>
    <xf numFmtId="49" fontId="15" fillId="3" borderId="24" xfId="1" applyNumberFormat="1" applyFont="1" applyFill="1" applyBorder="1" applyAlignment="1">
      <alignment horizontal="center" vertical="center"/>
    </xf>
    <xf numFmtId="49" fontId="15" fillId="3" borderId="65" xfId="1" applyNumberFormat="1" applyFont="1" applyFill="1" applyBorder="1" applyAlignment="1">
      <alignment horizontal="center" vertical="center"/>
    </xf>
    <xf numFmtId="0" fontId="27" fillId="3" borderId="59" xfId="4" applyFont="1" applyFill="1" applyBorder="1" applyAlignment="1">
      <alignment horizontal="center" vertical="center"/>
    </xf>
    <xf numFmtId="0" fontId="27" fillId="3" borderId="22" xfId="4" applyFont="1" applyFill="1" applyBorder="1" applyAlignment="1">
      <alignment horizontal="center" vertical="center"/>
    </xf>
    <xf numFmtId="0" fontId="27" fillId="3" borderId="25" xfId="4" applyFont="1" applyFill="1" applyBorder="1" applyAlignment="1">
      <alignment horizontal="center" vertical="center"/>
    </xf>
    <xf numFmtId="41" fontId="15" fillId="3" borderId="61" xfId="1" applyFont="1" applyFill="1" applyBorder="1" applyAlignment="1">
      <alignment horizontal="center" vertical="center"/>
    </xf>
    <xf numFmtId="41" fontId="15" fillId="3" borderId="31" xfId="1" applyFont="1" applyFill="1" applyBorder="1" applyAlignment="1">
      <alignment horizontal="center" vertical="center"/>
    </xf>
    <xf numFmtId="41" fontId="15" fillId="3" borderId="60" xfId="1" applyFont="1" applyFill="1" applyBorder="1" applyAlignment="1">
      <alignment horizontal="center" vertical="center"/>
    </xf>
    <xf numFmtId="0" fontId="15" fillId="0" borderId="39" xfId="4" applyFont="1" applyBorder="1" applyAlignment="1">
      <alignment horizontal="center" vertical="top" wrapText="1"/>
    </xf>
    <xf numFmtId="0" fontId="15" fillId="0" borderId="6" xfId="4" applyFont="1" applyBorder="1" applyAlignment="1">
      <alignment horizontal="center" vertical="top" wrapText="1"/>
    </xf>
    <xf numFmtId="49" fontId="15" fillId="3" borderId="21" xfId="1" applyNumberFormat="1" applyFont="1" applyFill="1" applyBorder="1" applyAlignment="1">
      <alignment horizontal="center" vertical="center"/>
    </xf>
    <xf numFmtId="49" fontId="15" fillId="3" borderId="9" xfId="1" applyNumberFormat="1" applyFont="1" applyFill="1" applyBorder="1" applyAlignment="1">
      <alignment horizontal="center" vertical="center"/>
    </xf>
    <xf numFmtId="49" fontId="15" fillId="3" borderId="62" xfId="1" applyNumberFormat="1" applyFont="1" applyFill="1" applyBorder="1" applyAlignment="1">
      <alignment horizontal="center" vertical="center"/>
    </xf>
    <xf numFmtId="49" fontId="15" fillId="3" borderId="44" xfId="1" applyNumberFormat="1" applyFont="1" applyFill="1" applyBorder="1" applyAlignment="1">
      <alignment horizontal="center" vertical="center"/>
    </xf>
    <xf numFmtId="41" fontId="16" fillId="3" borderId="33" xfId="1" applyFont="1" applyFill="1" applyBorder="1" applyAlignment="1">
      <alignment horizontal="center" vertical="center" wrapText="1"/>
    </xf>
    <xf numFmtId="41" fontId="16" fillId="3" borderId="3" xfId="1" applyFont="1" applyFill="1" applyBorder="1" applyAlignment="1">
      <alignment horizontal="center" vertical="center"/>
    </xf>
    <xf numFmtId="0" fontId="15" fillId="0" borderId="14" xfId="5" applyFont="1" applyBorder="1" applyAlignment="1">
      <alignment horizontal="left" vertical="center" wrapText="1"/>
    </xf>
    <xf numFmtId="0" fontId="15" fillId="0" borderId="0" xfId="5" applyFont="1" applyAlignment="1">
      <alignment horizontal="left" vertical="center" wrapText="1"/>
    </xf>
    <xf numFmtId="41" fontId="15" fillId="0" borderId="39" xfId="1" applyFont="1" applyFill="1" applyBorder="1" applyAlignment="1">
      <alignment horizontal="center" vertical="top"/>
    </xf>
    <xf numFmtId="41" fontId="15" fillId="0" borderId="6" xfId="1" applyFont="1" applyFill="1" applyBorder="1" applyAlignment="1">
      <alignment horizontal="center" vertical="top"/>
    </xf>
    <xf numFmtId="0" fontId="21" fillId="0" borderId="0" xfId="0" applyFont="1" applyAlignment="1">
      <alignment horizontal="center" vertical="center"/>
    </xf>
    <xf numFmtId="41" fontId="21" fillId="0" borderId="0" xfId="1" applyFont="1" applyFill="1" applyBorder="1" applyAlignment="1">
      <alignment horizontal="center" vertical="center"/>
    </xf>
    <xf numFmtId="41" fontId="15" fillId="0" borderId="39" xfId="1" applyFont="1" applyFill="1" applyBorder="1" applyAlignment="1">
      <alignment horizontal="center" vertical="top" wrapText="1"/>
    </xf>
    <xf numFmtId="49" fontId="15" fillId="3" borderId="15" xfId="1" applyNumberFormat="1" applyFont="1" applyFill="1" applyBorder="1" applyAlignment="1">
      <alignment horizontal="center" vertical="center"/>
    </xf>
    <xf numFmtId="49" fontId="15" fillId="3" borderId="16" xfId="1" applyNumberFormat="1" applyFont="1" applyFill="1" applyBorder="1" applyAlignment="1">
      <alignment horizontal="center" vertical="center"/>
    </xf>
    <xf numFmtId="41" fontId="15" fillId="3" borderId="27" xfId="1" applyFont="1" applyFill="1" applyBorder="1" applyAlignment="1">
      <alignment horizontal="center" vertical="center"/>
    </xf>
    <xf numFmtId="41" fontId="15" fillId="3" borderId="8" xfId="1" applyFont="1" applyFill="1" applyBorder="1" applyAlignment="1">
      <alignment horizontal="center" vertical="center"/>
    </xf>
    <xf numFmtId="41" fontId="15" fillId="3" borderId="21" xfId="1" applyFont="1" applyFill="1" applyBorder="1" applyAlignment="1">
      <alignment horizontal="center" vertical="center"/>
    </xf>
    <xf numFmtId="41" fontId="15" fillId="3" borderId="9" xfId="1" applyFont="1" applyFill="1" applyBorder="1" applyAlignment="1">
      <alignment horizontal="center" vertical="center"/>
    </xf>
    <xf numFmtId="0" fontId="15" fillId="0" borderId="27" xfId="4" applyFont="1" applyBorder="1" applyAlignment="1">
      <alignment horizontal="center" vertical="top" wrapText="1"/>
    </xf>
    <xf numFmtId="41" fontId="15" fillId="0" borderId="39" xfId="1" applyFont="1" applyFill="1" applyBorder="1" applyAlignment="1">
      <alignment horizontal="center" vertical="center" wrapText="1"/>
    </xf>
    <xf numFmtId="41" fontId="15" fillId="0" borderId="6" xfId="1" applyFont="1" applyFill="1" applyBorder="1" applyAlignment="1">
      <alignment horizontal="center" vertical="center" wrapText="1"/>
    </xf>
    <xf numFmtId="176" fontId="31" fillId="0" borderId="0" xfId="0" applyNumberFormat="1" applyFont="1" applyAlignment="1">
      <alignment horizontal="center"/>
    </xf>
    <xf numFmtId="177" fontId="17" fillId="0" borderId="47" xfId="0" applyNumberFormat="1" applyFont="1" applyBorder="1" applyAlignment="1">
      <alignment horizontal="center" vertical="center"/>
    </xf>
    <xf numFmtId="177" fontId="17" fillId="0" borderId="55" xfId="0" applyNumberFormat="1" applyFont="1" applyBorder="1" applyAlignment="1">
      <alignment horizontal="center" vertical="center"/>
    </xf>
    <xf numFmtId="177" fontId="17" fillId="0" borderId="69" xfId="0" applyNumberFormat="1" applyFont="1" applyBorder="1" applyAlignment="1">
      <alignment horizontal="center" vertical="center"/>
    </xf>
    <xf numFmtId="0" fontId="17" fillId="0" borderId="63" xfId="0" applyFont="1" applyBorder="1" applyAlignment="1">
      <alignment horizontal="center" vertical="center"/>
    </xf>
    <xf numFmtId="0" fontId="17" fillId="0" borderId="64" xfId="0" applyFont="1" applyBorder="1" applyAlignment="1">
      <alignment horizontal="center" vertical="center"/>
    </xf>
    <xf numFmtId="0" fontId="23" fillId="0" borderId="58" xfId="0" applyFont="1" applyBorder="1">
      <alignment vertical="center"/>
    </xf>
    <xf numFmtId="0" fontId="23" fillId="0" borderId="2" xfId="0" applyFont="1" applyBorder="1">
      <alignment vertical="center"/>
    </xf>
    <xf numFmtId="0" fontId="23" fillId="0" borderId="19" xfId="0" applyFont="1" applyBorder="1">
      <alignment vertical="center"/>
    </xf>
    <xf numFmtId="0" fontId="17" fillId="0" borderId="3" xfId="0" applyFont="1" applyBorder="1">
      <alignment vertical="center"/>
    </xf>
    <xf numFmtId="0" fontId="17" fillId="0" borderId="11" xfId="0" applyFont="1" applyBorder="1">
      <alignment vertical="center"/>
    </xf>
    <xf numFmtId="0" fontId="17" fillId="0" borderId="58" xfId="0" applyFont="1" applyBorder="1">
      <alignment vertical="center"/>
    </xf>
    <xf numFmtId="0" fontId="17" fillId="0" borderId="2" xfId="0" applyFont="1" applyBorder="1">
      <alignment vertical="center"/>
    </xf>
    <xf numFmtId="0" fontId="17" fillId="0" borderId="19" xfId="0" applyFont="1" applyBorder="1">
      <alignment vertical="center"/>
    </xf>
    <xf numFmtId="0" fontId="17" fillId="0" borderId="36" xfId="0" applyFont="1" applyBorder="1" applyAlignment="1">
      <alignment vertical="center" wrapText="1"/>
    </xf>
    <xf numFmtId="0" fontId="17" fillId="0" borderId="3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17" fillId="0" borderId="28" xfId="0" applyFont="1" applyBorder="1">
      <alignment vertical="center"/>
    </xf>
    <xf numFmtId="0" fontId="17" fillId="0" borderId="58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17" fillId="0" borderId="51" xfId="0" applyFont="1" applyBorder="1">
      <alignment vertical="center"/>
    </xf>
    <xf numFmtId="0" fontId="17" fillId="0" borderId="18" xfId="0" applyFont="1" applyBorder="1">
      <alignment vertical="center"/>
    </xf>
    <xf numFmtId="0" fontId="17" fillId="0" borderId="11" xfId="1" applyNumberFormat="1" applyFont="1" applyFill="1" applyBorder="1" applyAlignment="1">
      <alignment vertical="center" wrapText="1"/>
    </xf>
    <xf numFmtId="0" fontId="17" fillId="0" borderId="18" xfId="1" applyNumberFormat="1" applyFont="1" applyFill="1" applyBorder="1" applyAlignment="1">
      <alignment vertical="center" wrapText="1"/>
    </xf>
    <xf numFmtId="0" fontId="31" fillId="0" borderId="0" xfId="0" applyFont="1" applyAlignment="1">
      <alignment horizontal="center" vertical="center"/>
    </xf>
    <xf numFmtId="0" fontId="17" fillId="0" borderId="47" xfId="0" applyFont="1" applyBorder="1" applyAlignment="1">
      <alignment horizontal="center" vertical="center"/>
    </xf>
    <xf numFmtId="0" fontId="17" fillId="0" borderId="55" xfId="0" applyFont="1" applyBorder="1" applyAlignment="1">
      <alignment horizontal="center" vertical="center"/>
    </xf>
    <xf numFmtId="0" fontId="17" fillId="0" borderId="69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25" fillId="0" borderId="57" xfId="0" applyFont="1" applyBorder="1">
      <alignment vertical="center"/>
    </xf>
    <xf numFmtId="0" fontId="25" fillId="0" borderId="35" xfId="0" applyFont="1" applyBorder="1">
      <alignment vertical="center"/>
    </xf>
    <xf numFmtId="0" fontId="17" fillId="0" borderId="12" xfId="0" applyFont="1" applyBorder="1">
      <alignment vertical="center"/>
    </xf>
    <xf numFmtId="0" fontId="17" fillId="0" borderId="3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9" xfId="1" applyNumberFormat="1" applyFont="1" applyFill="1" applyBorder="1" applyAlignment="1">
      <alignment vertical="center" wrapText="1"/>
    </xf>
    <xf numFmtId="0" fontId="17" fillId="0" borderId="35" xfId="1" applyNumberFormat="1" applyFont="1" applyFill="1" applyBorder="1" applyAlignment="1">
      <alignment vertical="center" wrapText="1"/>
    </xf>
    <xf numFmtId="0" fontId="17" fillId="0" borderId="28" xfId="1" applyNumberFormat="1" applyFont="1" applyFill="1" applyBorder="1" applyAlignment="1">
      <alignment vertical="center" wrapText="1"/>
    </xf>
    <xf numFmtId="0" fontId="17" fillId="0" borderId="0" xfId="1" applyNumberFormat="1" applyFont="1" applyFill="1" applyBorder="1" applyAlignment="1">
      <alignment vertical="center" wrapText="1"/>
    </xf>
    <xf numFmtId="0" fontId="17" fillId="0" borderId="38" xfId="1" applyNumberFormat="1" applyFont="1" applyFill="1" applyBorder="1" applyAlignment="1">
      <alignment vertical="center" wrapText="1"/>
    </xf>
    <xf numFmtId="0" fontId="17" fillId="0" borderId="37" xfId="1" applyNumberFormat="1" applyFont="1" applyFill="1" applyBorder="1" applyAlignment="1">
      <alignment vertical="center" wrapText="1"/>
    </xf>
    <xf numFmtId="0" fontId="18" fillId="0" borderId="57" xfId="0" applyFont="1" applyBorder="1" applyAlignment="1">
      <alignment vertical="center" wrapText="1"/>
    </xf>
    <xf numFmtId="0" fontId="18" fillId="0" borderId="35" xfId="0" applyFont="1" applyBorder="1" applyAlignment="1">
      <alignment vertical="center" wrapText="1"/>
    </xf>
    <xf numFmtId="0" fontId="18" fillId="0" borderId="12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17" fillId="0" borderId="19" xfId="1" applyNumberFormat="1" applyFont="1" applyFill="1" applyBorder="1" applyAlignment="1">
      <alignment horizontal="left" vertical="center" wrapText="1"/>
    </xf>
    <xf numFmtId="0" fontId="17" fillId="0" borderId="35" xfId="1" applyNumberFormat="1" applyFont="1" applyFill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18" fillId="0" borderId="57" xfId="0" applyFont="1" applyBorder="1">
      <alignment vertical="center"/>
    </xf>
    <xf numFmtId="0" fontId="18" fillId="0" borderId="35" xfId="0" applyFont="1" applyBorder="1">
      <alignment vertical="center"/>
    </xf>
    <xf numFmtId="0" fontId="18" fillId="0" borderId="12" xfId="0" applyFont="1" applyBorder="1">
      <alignment vertical="center"/>
    </xf>
    <xf numFmtId="0" fontId="17" fillId="0" borderId="33" xfId="0" applyFont="1" applyBorder="1" applyAlignment="1">
      <alignment horizontal="left" vertical="center" wrapText="1"/>
    </xf>
    <xf numFmtId="0" fontId="17" fillId="0" borderId="7" xfId="0" applyFont="1" applyBorder="1" applyAlignment="1">
      <alignment vertical="center" wrapText="1"/>
    </xf>
    <xf numFmtId="180" fontId="17" fillId="5" borderId="7" xfId="0" applyNumberFormat="1" applyFont="1" applyFill="1" applyBorder="1" applyAlignment="1">
      <alignment horizontal="center" vertical="center"/>
    </xf>
    <xf numFmtId="180" fontId="17" fillId="5" borderId="7" xfId="0" applyNumberFormat="1" applyFont="1" applyFill="1" applyBorder="1" applyAlignment="1">
      <alignment horizontal="right" vertical="center"/>
    </xf>
    <xf numFmtId="180" fontId="17" fillId="0" borderId="33" xfId="0" applyNumberFormat="1" applyFont="1" applyBorder="1" applyAlignment="1">
      <alignment horizontal="right" vertical="center"/>
    </xf>
    <xf numFmtId="180" fontId="17" fillId="0" borderId="7" xfId="0" applyNumberFormat="1" applyFont="1" applyBorder="1" applyAlignment="1">
      <alignment horizontal="right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7" fillId="0" borderId="38" xfId="0" applyFont="1" applyBorder="1">
      <alignment vertical="center"/>
    </xf>
    <xf numFmtId="0" fontId="17" fillId="0" borderId="56" xfId="0" applyFont="1" applyBorder="1">
      <alignment vertical="center"/>
    </xf>
  </cellXfs>
  <cellStyles count="6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  <cellStyle name="표준_2004예산총괄표" xfId="4" xr:uid="{00000000-0005-0000-0000-000004000000}"/>
    <cellStyle name="표준_2004예산총괄표_2005년 예산서총괄표(1)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85725</xdr:colOff>
      <xdr:row>12</xdr:row>
      <xdr:rowOff>38100</xdr:rowOff>
    </xdr:from>
    <xdr:to>
      <xdr:col>13</xdr:col>
      <xdr:colOff>123825</xdr:colOff>
      <xdr:row>16</xdr:row>
      <xdr:rowOff>38100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74DAE8E-C43E-4BF4-8483-986483DD53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4350" y="7162800"/>
          <a:ext cx="5572125" cy="1038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R13"/>
  <sheetViews>
    <sheetView tabSelected="1" zoomScaleNormal="100" workbookViewId="0">
      <selection activeCell="M8" sqref="M8"/>
    </sheetView>
  </sheetViews>
  <sheetFormatPr defaultRowHeight="13.5"/>
  <cols>
    <col min="4" max="4" width="5" customWidth="1"/>
    <col min="12" max="12" width="11.21875" customWidth="1"/>
  </cols>
  <sheetData>
    <row r="3" spans="1:18" ht="60.75" customHeight="1"/>
    <row r="4" spans="1:18" ht="51.75" customHeight="1">
      <c r="A4" s="565" t="s">
        <v>331</v>
      </c>
      <c r="B4" s="565"/>
      <c r="C4" s="565"/>
      <c r="D4" s="565"/>
      <c r="E4" s="565"/>
      <c r="F4" s="565"/>
      <c r="G4" s="565"/>
      <c r="H4" s="565"/>
      <c r="I4" s="565"/>
      <c r="J4" s="565"/>
      <c r="K4" s="565"/>
      <c r="L4" s="565"/>
      <c r="M4" s="565"/>
      <c r="N4" s="565"/>
      <c r="O4" s="565"/>
      <c r="P4" s="565"/>
      <c r="Q4" s="565"/>
      <c r="R4" s="565"/>
    </row>
    <row r="5" spans="1:18" ht="51.75" customHeight="1">
      <c r="A5" s="565" t="s">
        <v>638</v>
      </c>
      <c r="B5" s="565"/>
      <c r="C5" s="565"/>
      <c r="D5" s="565"/>
      <c r="E5" s="565"/>
      <c r="F5" s="565"/>
      <c r="G5" s="565"/>
      <c r="H5" s="565"/>
      <c r="I5" s="565"/>
      <c r="J5" s="565"/>
      <c r="K5" s="565"/>
      <c r="L5" s="565"/>
      <c r="M5" s="565"/>
      <c r="N5" s="565"/>
      <c r="O5" s="565"/>
      <c r="P5" s="565"/>
      <c r="Q5" s="565"/>
      <c r="R5" s="565"/>
    </row>
    <row r="6" spans="1:18" ht="27" customHeight="1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8" ht="35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8" ht="107.2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8" ht="99.7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8" ht="73.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8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1:18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8" ht="41.25">
      <c r="A13" s="564"/>
      <c r="B13" s="564"/>
      <c r="C13" s="564"/>
      <c r="D13" s="564"/>
      <c r="E13" s="564"/>
      <c r="F13" s="564"/>
      <c r="G13" s="564"/>
      <c r="H13" s="564"/>
      <c r="I13" s="564"/>
      <c r="J13" s="564"/>
      <c r="K13" s="564"/>
      <c r="L13" s="564"/>
      <c r="M13" s="213"/>
      <c r="N13" s="213"/>
      <c r="O13" s="213"/>
      <c r="P13" s="213"/>
      <c r="Q13" s="213"/>
      <c r="R13" s="213"/>
    </row>
  </sheetData>
  <mergeCells count="3">
    <mergeCell ref="A13:L13"/>
    <mergeCell ref="A4:R4"/>
    <mergeCell ref="A5:R5"/>
  </mergeCells>
  <phoneticPr fontId="2" type="noConversion"/>
  <pageMargins left="0.7" right="0.7" top="0.75" bottom="0.75" header="0.3" footer="0.3"/>
  <pageSetup paperSize="9" scale="7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26B14-D5B8-4D85-BA50-45BA9E070910}">
  <sheetPr>
    <pageSetUpPr fitToPage="1"/>
  </sheetPr>
  <dimension ref="A1:AN210"/>
  <sheetViews>
    <sheetView zoomScale="80" workbookViewId="0">
      <selection activeCell="AM27" sqref="AM27"/>
    </sheetView>
  </sheetViews>
  <sheetFormatPr defaultRowHeight="13.5"/>
  <cols>
    <col min="1" max="1" width="9.88671875" customWidth="1"/>
    <col min="2" max="2" width="10.77734375" customWidth="1"/>
    <col min="3" max="3" width="32.109375" customWidth="1"/>
    <col min="4" max="4" width="11.88671875" hidden="1" customWidth="1"/>
    <col min="5" max="6" width="9.33203125" style="2" hidden="1" customWidth="1"/>
    <col min="7" max="7" width="0.109375" style="2" hidden="1" customWidth="1"/>
    <col min="8" max="8" width="9" style="2" hidden="1" customWidth="1"/>
    <col min="9" max="10" width="0.109375" style="2" hidden="1" customWidth="1"/>
    <col min="11" max="11" width="9.88671875" style="2" hidden="1" customWidth="1"/>
    <col min="12" max="12" width="0.109375" style="2" hidden="1" customWidth="1"/>
    <col min="13" max="15" width="9.44140625" style="2" hidden="1" customWidth="1"/>
    <col min="16" max="16" width="9.88671875" style="2" customWidth="1"/>
    <col min="17" max="17" width="9" style="2" customWidth="1"/>
    <col min="18" max="18" width="7.88671875" style="2" customWidth="1"/>
    <col min="19" max="19" width="10" style="10" customWidth="1"/>
    <col min="20" max="20" width="11.21875" style="10" customWidth="1"/>
    <col min="21" max="21" width="25.21875" style="10" customWidth="1"/>
    <col min="22" max="22" width="13.6640625" style="10" hidden="1" customWidth="1"/>
    <col min="23" max="23" width="9.77734375" style="8" hidden="1" customWidth="1"/>
    <col min="24" max="25" width="10.88671875" style="8" hidden="1" customWidth="1"/>
    <col min="26" max="26" width="9.109375" style="8" hidden="1" customWidth="1"/>
    <col min="27" max="30" width="10.5546875" style="8" hidden="1" customWidth="1"/>
    <col min="31" max="33" width="9.44140625" style="8" hidden="1" customWidth="1"/>
    <col min="34" max="34" width="10.5546875" style="8" customWidth="1"/>
    <col min="35" max="35" width="10" style="8" customWidth="1"/>
    <col min="36" max="36" width="8.6640625" customWidth="1"/>
  </cols>
  <sheetData>
    <row r="1" spans="1:38" ht="27.75" customHeight="1">
      <c r="A1" s="566" t="s">
        <v>539</v>
      </c>
      <c r="B1" s="566"/>
      <c r="C1" s="566"/>
      <c r="D1" s="566"/>
      <c r="E1" s="566"/>
      <c r="F1" s="566"/>
      <c r="G1" s="566"/>
      <c r="H1" s="566"/>
      <c r="I1" s="566"/>
      <c r="J1" s="566"/>
      <c r="K1" s="566"/>
      <c r="L1" s="566"/>
      <c r="M1" s="566"/>
      <c r="N1" s="566"/>
      <c r="O1" s="566"/>
      <c r="P1" s="566"/>
      <c r="Q1" s="566"/>
      <c r="R1" s="566"/>
      <c r="S1" s="566"/>
      <c r="T1" s="566"/>
      <c r="U1" s="566"/>
      <c r="V1" s="566"/>
      <c r="W1" s="566"/>
      <c r="X1" s="566"/>
      <c r="Y1" s="566"/>
      <c r="Z1" s="566"/>
      <c r="AA1" s="566"/>
      <c r="AB1" s="566"/>
      <c r="AC1" s="566"/>
      <c r="AD1" s="566"/>
      <c r="AE1" s="566"/>
      <c r="AF1" s="566"/>
      <c r="AG1" s="566"/>
      <c r="AH1" s="566"/>
      <c r="AI1" s="566"/>
      <c r="AJ1" s="566"/>
    </row>
    <row r="2" spans="1:38" ht="15.75" customHeight="1" thickBot="1">
      <c r="S2" s="12"/>
      <c r="T2" s="12"/>
      <c r="U2" s="12"/>
      <c r="V2" s="12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</row>
    <row r="3" spans="1:38" s="9" customFormat="1" ht="18" customHeight="1">
      <c r="A3" s="567" t="s">
        <v>3</v>
      </c>
      <c r="B3" s="569" t="s">
        <v>4</v>
      </c>
      <c r="C3" s="571" t="s">
        <v>5</v>
      </c>
      <c r="D3" s="571">
        <v>2016</v>
      </c>
      <c r="E3" s="569">
        <v>2017</v>
      </c>
      <c r="F3" s="571" t="s">
        <v>185</v>
      </c>
      <c r="G3" s="573">
        <v>2016</v>
      </c>
      <c r="H3" s="575">
        <v>2017</v>
      </c>
      <c r="I3" s="577">
        <v>2018</v>
      </c>
      <c r="J3" s="577" t="s">
        <v>270</v>
      </c>
      <c r="K3" s="577" t="s">
        <v>405</v>
      </c>
      <c r="L3" s="577">
        <v>2019</v>
      </c>
      <c r="M3" s="577">
        <v>2020</v>
      </c>
      <c r="N3" s="577" t="s">
        <v>405</v>
      </c>
      <c r="O3" s="577" t="s">
        <v>406</v>
      </c>
      <c r="P3" s="577" t="s">
        <v>332</v>
      </c>
      <c r="Q3" s="577" t="s">
        <v>632</v>
      </c>
      <c r="R3" s="573" t="s">
        <v>178</v>
      </c>
      <c r="S3" s="608" t="s">
        <v>3</v>
      </c>
      <c r="T3" s="610" t="s">
        <v>4</v>
      </c>
      <c r="U3" s="579" t="s">
        <v>5</v>
      </c>
      <c r="V3" s="581">
        <v>2016</v>
      </c>
      <c r="W3" s="593">
        <v>2017</v>
      </c>
      <c r="X3" s="581" t="s">
        <v>185</v>
      </c>
      <c r="Y3" s="581" t="s">
        <v>407</v>
      </c>
      <c r="Z3" s="595" t="s">
        <v>408</v>
      </c>
      <c r="AA3" s="606" t="s">
        <v>409</v>
      </c>
      <c r="AB3" s="606" t="s">
        <v>270</v>
      </c>
      <c r="AC3" s="581" t="s">
        <v>405</v>
      </c>
      <c r="AD3" s="583" t="s">
        <v>410</v>
      </c>
      <c r="AE3" s="583" t="s">
        <v>411</v>
      </c>
      <c r="AF3" s="583" t="s">
        <v>405</v>
      </c>
      <c r="AG3" s="583" t="s">
        <v>406</v>
      </c>
      <c r="AH3" s="583" t="s">
        <v>332</v>
      </c>
      <c r="AI3" s="583" t="s">
        <v>632</v>
      </c>
      <c r="AJ3" s="583" t="s">
        <v>178</v>
      </c>
    </row>
    <row r="4" spans="1:38" s="9" customFormat="1" ht="18" customHeight="1" thickBot="1">
      <c r="A4" s="568"/>
      <c r="B4" s="570"/>
      <c r="C4" s="572"/>
      <c r="D4" s="572"/>
      <c r="E4" s="570"/>
      <c r="F4" s="572"/>
      <c r="G4" s="574"/>
      <c r="H4" s="576"/>
      <c r="I4" s="578"/>
      <c r="J4" s="578"/>
      <c r="K4" s="578"/>
      <c r="L4" s="578"/>
      <c r="M4" s="578"/>
      <c r="N4" s="578"/>
      <c r="O4" s="578"/>
      <c r="P4" s="578"/>
      <c r="Q4" s="578"/>
      <c r="R4" s="574"/>
      <c r="S4" s="609"/>
      <c r="T4" s="611"/>
      <c r="U4" s="580"/>
      <c r="V4" s="582"/>
      <c r="W4" s="594"/>
      <c r="X4" s="582"/>
      <c r="Y4" s="582"/>
      <c r="Z4" s="596"/>
      <c r="AA4" s="607"/>
      <c r="AB4" s="607"/>
      <c r="AC4" s="582"/>
      <c r="AD4" s="584"/>
      <c r="AE4" s="584"/>
      <c r="AF4" s="584"/>
      <c r="AG4" s="584"/>
      <c r="AH4" s="584"/>
      <c r="AI4" s="584"/>
      <c r="AJ4" s="584"/>
    </row>
    <row r="5" spans="1:38" s="9" customFormat="1" ht="22.5" customHeight="1" thickBot="1">
      <c r="A5" s="585" t="s">
        <v>24</v>
      </c>
      <c r="B5" s="586"/>
      <c r="C5" s="587"/>
      <c r="D5" s="310" t="e">
        <f>D6+#REF!+D26+D29+D31+D36+D39</f>
        <v>#REF!</v>
      </c>
      <c r="E5" s="311" t="e">
        <f>E6+#REF!+E26+E29+E31+E36+E39</f>
        <v>#REF!</v>
      </c>
      <c r="F5" s="310" t="e">
        <f>F6+#REF!+F26+F29+F31+F36+F39</f>
        <v>#REF!</v>
      </c>
      <c r="G5" s="312" t="e">
        <f>G6+#REF!+G26+G29+G31+G36+G39</f>
        <v>#REF!</v>
      </c>
      <c r="H5" s="313">
        <f t="shared" ref="H5:Q5" si="0">H6+H26+H29+H31+H36+H39</f>
        <v>558482000</v>
      </c>
      <c r="I5" s="314">
        <f t="shared" si="0"/>
        <v>623850000</v>
      </c>
      <c r="J5" s="314">
        <f t="shared" si="0"/>
        <v>621258000</v>
      </c>
      <c r="K5" s="314">
        <f t="shared" si="0"/>
        <v>697434000</v>
      </c>
      <c r="L5" s="315">
        <f t="shared" si="0"/>
        <v>2478704000</v>
      </c>
      <c r="M5" s="225">
        <f t="shared" si="0"/>
        <v>3115068000</v>
      </c>
      <c r="N5" s="225">
        <f t="shared" si="0"/>
        <v>3163015000</v>
      </c>
      <c r="O5" s="225">
        <f t="shared" si="0"/>
        <v>3157791000</v>
      </c>
      <c r="P5" s="225">
        <f t="shared" si="0"/>
        <v>3150827000</v>
      </c>
      <c r="Q5" s="225">
        <f t="shared" si="0"/>
        <v>3197042000</v>
      </c>
      <c r="R5" s="224">
        <f>Q5-P5</f>
        <v>46215000</v>
      </c>
      <c r="S5" s="588" t="s">
        <v>24</v>
      </c>
      <c r="T5" s="589"/>
      <c r="U5" s="590"/>
      <c r="V5" s="316" t="e">
        <f t="shared" ref="V5:AI5" si="1">V6+V24+V29+V59+V62</f>
        <v>#REF!</v>
      </c>
      <c r="W5" s="316" t="e">
        <f t="shared" si="1"/>
        <v>#REF!</v>
      </c>
      <c r="X5" s="316" t="e">
        <f t="shared" si="1"/>
        <v>#REF!</v>
      </c>
      <c r="Y5" s="316">
        <f t="shared" si="1"/>
        <v>557206000</v>
      </c>
      <c r="Z5" s="317" t="e">
        <f t="shared" si="1"/>
        <v>#REF!</v>
      </c>
      <c r="AA5" s="318">
        <f t="shared" si="1"/>
        <v>1529043000</v>
      </c>
      <c r="AB5" s="318">
        <f t="shared" si="1"/>
        <v>1941858000</v>
      </c>
      <c r="AC5" s="316">
        <f t="shared" si="1"/>
        <v>697434000</v>
      </c>
      <c r="AD5" s="187">
        <f t="shared" si="1"/>
        <v>2478549400</v>
      </c>
      <c r="AE5" s="187">
        <f t="shared" si="1"/>
        <v>3115068000</v>
      </c>
      <c r="AF5" s="187">
        <f t="shared" si="1"/>
        <v>3163015000</v>
      </c>
      <c r="AG5" s="187">
        <f t="shared" si="1"/>
        <v>3157791000</v>
      </c>
      <c r="AH5" s="187">
        <f t="shared" si="1"/>
        <v>3150827000</v>
      </c>
      <c r="AI5" s="187">
        <f t="shared" si="1"/>
        <v>3197042000</v>
      </c>
      <c r="AJ5" s="187">
        <f>AI5-AH5</f>
        <v>46215000</v>
      </c>
      <c r="AL5" s="319"/>
    </row>
    <row r="6" spans="1:38" s="231" customFormat="1" ht="22.5" customHeight="1">
      <c r="A6" s="612" t="s">
        <v>28</v>
      </c>
      <c r="B6" s="25" t="s">
        <v>28</v>
      </c>
      <c r="C6" s="26" t="s">
        <v>11</v>
      </c>
      <c r="D6" s="226" t="e">
        <f t="shared" ref="D6:H6" si="2">SUM(D7:D8)</f>
        <v>#REF!</v>
      </c>
      <c r="E6" s="227">
        <f t="shared" si="2"/>
        <v>353320000</v>
      </c>
      <c r="F6" s="226">
        <f t="shared" si="2"/>
        <v>353320000</v>
      </c>
      <c r="G6" s="228">
        <f t="shared" si="2"/>
        <v>343950000</v>
      </c>
      <c r="H6" s="320">
        <f t="shared" si="2"/>
        <v>353320000</v>
      </c>
      <c r="I6" s="229">
        <f t="shared" ref="I6:K6" si="3">SUM(I7:I8)</f>
        <v>461320000</v>
      </c>
      <c r="J6" s="229">
        <f t="shared" si="3"/>
        <v>461320000</v>
      </c>
      <c r="K6" s="229">
        <f t="shared" si="3"/>
        <v>528520000</v>
      </c>
      <c r="L6" s="229">
        <f t="shared" ref="L6:Q6" si="4">SUM(L7:L20)</f>
        <v>2252823000</v>
      </c>
      <c r="M6" s="229">
        <f t="shared" si="4"/>
        <v>2882583000</v>
      </c>
      <c r="N6" s="229">
        <f t="shared" si="4"/>
        <v>2893190000</v>
      </c>
      <c r="O6" s="229">
        <f t="shared" si="4"/>
        <v>2899740000</v>
      </c>
      <c r="P6" s="229">
        <f t="shared" si="4"/>
        <v>2899740000</v>
      </c>
      <c r="Q6" s="229">
        <f t="shared" si="4"/>
        <v>2914540000</v>
      </c>
      <c r="R6" s="230">
        <f>Q6-O6</f>
        <v>14800000</v>
      </c>
      <c r="S6" s="166" t="s">
        <v>10</v>
      </c>
      <c r="T6" s="27" t="s">
        <v>41</v>
      </c>
      <c r="U6" s="28" t="s">
        <v>7</v>
      </c>
      <c r="V6" s="321" t="e">
        <f t="shared" ref="V6:AI6" si="5">V7+V13+V17</f>
        <v>#REF!</v>
      </c>
      <c r="W6" s="321" t="e">
        <f t="shared" si="5"/>
        <v>#REF!</v>
      </c>
      <c r="X6" s="321" t="e">
        <f t="shared" si="5"/>
        <v>#REF!</v>
      </c>
      <c r="Y6" s="321">
        <f t="shared" si="5"/>
        <v>443750000</v>
      </c>
      <c r="Z6" s="322">
        <f t="shared" si="5"/>
        <v>459818000</v>
      </c>
      <c r="AA6" s="323">
        <f t="shared" si="5"/>
        <v>504747000</v>
      </c>
      <c r="AB6" s="323">
        <f t="shared" si="5"/>
        <v>525468000</v>
      </c>
      <c r="AC6" s="321">
        <f t="shared" si="5"/>
        <v>527890000</v>
      </c>
      <c r="AD6" s="199">
        <f t="shared" si="5"/>
        <v>532749000</v>
      </c>
      <c r="AE6" s="199">
        <f t="shared" si="5"/>
        <v>560251000</v>
      </c>
      <c r="AF6" s="199">
        <f t="shared" si="5"/>
        <v>556005000</v>
      </c>
      <c r="AG6" s="199">
        <f t="shared" si="5"/>
        <v>539239000</v>
      </c>
      <c r="AH6" s="199">
        <f t="shared" ref="AH6" si="6">AH7+AH13+AH17</f>
        <v>531573000</v>
      </c>
      <c r="AI6" s="199">
        <f t="shared" si="5"/>
        <v>577397000</v>
      </c>
      <c r="AJ6" s="188">
        <f>AI6-AH6</f>
        <v>45824000</v>
      </c>
      <c r="AL6" s="291"/>
    </row>
    <row r="7" spans="1:38" s="231" customFormat="1" ht="22.5" customHeight="1">
      <c r="A7" s="592"/>
      <c r="B7" s="232">
        <f>Q6/Q5*100</f>
        <v>91.163644393786498</v>
      </c>
      <c r="C7" s="233" t="s">
        <v>153</v>
      </c>
      <c r="D7" s="234" t="e">
        <f>#REF!</f>
        <v>#REF!</v>
      </c>
      <c r="E7" s="235">
        <f>세입명세서!E8</f>
        <v>340000000</v>
      </c>
      <c r="F7" s="234">
        <f>세입명세서!F8</f>
        <v>340000000</v>
      </c>
      <c r="G7" s="236">
        <v>330750000</v>
      </c>
      <c r="H7" s="324">
        <f>세입명세서!H8</f>
        <v>340000000</v>
      </c>
      <c r="I7" s="237">
        <f>세입명세서!I8</f>
        <v>448000000</v>
      </c>
      <c r="J7" s="237">
        <f>세입명세서!J8</f>
        <v>448000000</v>
      </c>
      <c r="K7" s="237">
        <v>515200000</v>
      </c>
      <c r="L7" s="237">
        <f>세입명세서!L8</f>
        <v>515200000</v>
      </c>
      <c r="M7" s="237">
        <f>세입명세서!M8</f>
        <v>530656000</v>
      </c>
      <c r="N7" s="237">
        <v>530656000</v>
      </c>
      <c r="O7" s="237">
        <f>세입명세서!O8</f>
        <v>530656000</v>
      </c>
      <c r="P7" s="237">
        <f>세입명세서!P8</f>
        <v>530656000</v>
      </c>
      <c r="Q7" s="237">
        <f>세입명세서!Q8</f>
        <v>546575000</v>
      </c>
      <c r="R7" s="238">
        <f t="shared" ref="R7:R41" si="7">Q7-O7</f>
        <v>15919000</v>
      </c>
      <c r="S7" s="29">
        <f>AI6/AI5*100</f>
        <v>18.060350786758512</v>
      </c>
      <c r="T7" s="30" t="s">
        <v>42</v>
      </c>
      <c r="U7" s="31" t="s">
        <v>11</v>
      </c>
      <c r="V7" s="325" t="e">
        <f t="shared" ref="V7:AI7" si="8">SUM(V8:V12)</f>
        <v>#REF!</v>
      </c>
      <c r="W7" s="325" t="e">
        <f t="shared" si="8"/>
        <v>#REF!</v>
      </c>
      <c r="X7" s="325" t="e">
        <f t="shared" si="8"/>
        <v>#REF!</v>
      </c>
      <c r="Y7" s="325">
        <f t="shared" si="8"/>
        <v>327445000</v>
      </c>
      <c r="Z7" s="326">
        <f t="shared" si="8"/>
        <v>350342000</v>
      </c>
      <c r="AA7" s="327">
        <f t="shared" si="8"/>
        <v>386354000</v>
      </c>
      <c r="AB7" s="327">
        <f t="shared" si="8"/>
        <v>408807000</v>
      </c>
      <c r="AC7" s="325">
        <f t="shared" si="8"/>
        <v>399731000</v>
      </c>
      <c r="AD7" s="200">
        <f t="shared" si="8"/>
        <v>401880000</v>
      </c>
      <c r="AE7" s="200">
        <f t="shared" ref="AE7:AG7" si="9">SUM(AE8:AE12)</f>
        <v>430467000</v>
      </c>
      <c r="AF7" s="200">
        <f t="shared" si="9"/>
        <v>423479000</v>
      </c>
      <c r="AG7" s="200">
        <f t="shared" si="9"/>
        <v>419983000</v>
      </c>
      <c r="AH7" s="200">
        <f t="shared" ref="AH7" si="10">SUM(AH8:AH12)</f>
        <v>419287000</v>
      </c>
      <c r="AI7" s="200">
        <f t="shared" si="8"/>
        <v>435297000</v>
      </c>
      <c r="AJ7" s="198">
        <f>AI7-AH7</f>
        <v>16010000</v>
      </c>
    </row>
    <row r="8" spans="1:38" s="231" customFormat="1" ht="22.5" customHeight="1">
      <c r="A8" s="306"/>
      <c r="B8" s="239"/>
      <c r="C8" s="240" t="s">
        <v>154</v>
      </c>
      <c r="D8" s="234" t="e">
        <f>#REF!</f>
        <v>#REF!</v>
      </c>
      <c r="E8" s="235">
        <f>세입명세서!E9</f>
        <v>13320000</v>
      </c>
      <c r="F8" s="234">
        <f>세입명세서!F9</f>
        <v>13320000</v>
      </c>
      <c r="G8" s="236">
        <v>13200000</v>
      </c>
      <c r="H8" s="324">
        <f>세입명세서!H9</f>
        <v>13320000</v>
      </c>
      <c r="I8" s="237">
        <f>세입명세서!I9</f>
        <v>13320000</v>
      </c>
      <c r="J8" s="237">
        <f>세입명세서!J9</f>
        <v>13320000</v>
      </c>
      <c r="K8" s="237">
        <v>13320000</v>
      </c>
      <c r="L8" s="237">
        <f>세입명세서!L9</f>
        <v>13320000</v>
      </c>
      <c r="M8" s="237">
        <f>세입명세서!M9</f>
        <v>13320000</v>
      </c>
      <c r="N8" s="237">
        <v>13320000</v>
      </c>
      <c r="O8" s="237">
        <f>세입명세서!O9</f>
        <v>13320000</v>
      </c>
      <c r="P8" s="237">
        <f>세입명세서!P9</f>
        <v>13320000</v>
      </c>
      <c r="Q8" s="237">
        <f>세입명세서!Q9</f>
        <v>13320000</v>
      </c>
      <c r="R8" s="238">
        <f t="shared" si="7"/>
        <v>0</v>
      </c>
      <c r="S8" s="301"/>
      <c r="T8" s="32">
        <f>AI7/AI5*100</f>
        <v>13.615617186136436</v>
      </c>
      <c r="U8" s="33" t="s">
        <v>12</v>
      </c>
      <c r="V8" s="328" t="e">
        <f>#REF!</f>
        <v>#REF!</v>
      </c>
      <c r="W8" s="328">
        <f>세출명세서!E7</f>
        <v>229395000</v>
      </c>
      <c r="X8" s="328">
        <f>세출명세서!F7</f>
        <v>229395000</v>
      </c>
      <c r="Y8" s="328">
        <v>218997000</v>
      </c>
      <c r="Z8" s="329">
        <f>세출명세서!H7</f>
        <v>230087000</v>
      </c>
      <c r="AA8" s="330">
        <f>세출명세서!I7</f>
        <v>262591000</v>
      </c>
      <c r="AB8" s="330">
        <f>세출명세서!J7</f>
        <v>275853000</v>
      </c>
      <c r="AC8" s="328">
        <v>267392000</v>
      </c>
      <c r="AD8" s="201">
        <f>세출명세서!L7</f>
        <v>267392000</v>
      </c>
      <c r="AE8" s="201">
        <f>세출명세서!M7</f>
        <v>282641000</v>
      </c>
      <c r="AF8" s="201">
        <v>282436000</v>
      </c>
      <c r="AG8" s="201">
        <f>세출명세서!O7</f>
        <v>280156000</v>
      </c>
      <c r="AH8" s="201">
        <f>세출명세서!P7</f>
        <v>279703000</v>
      </c>
      <c r="AI8" s="201">
        <f>세출명세서!Q7</f>
        <v>293574000</v>
      </c>
      <c r="AJ8" s="190">
        <f>AI8-AH8</f>
        <v>13871000</v>
      </c>
    </row>
    <row r="9" spans="1:38" s="231" customFormat="1" ht="22.5" customHeight="1">
      <c r="A9" s="306"/>
      <c r="B9" s="239"/>
      <c r="C9" s="331" t="s">
        <v>412</v>
      </c>
      <c r="D9" s="234"/>
      <c r="E9" s="235"/>
      <c r="F9" s="234"/>
      <c r="G9" s="236"/>
      <c r="H9" s="324"/>
      <c r="I9" s="237"/>
      <c r="J9" s="237"/>
      <c r="K9" s="237"/>
      <c r="L9" s="237">
        <f>세입명세서!L11</f>
        <v>25000000</v>
      </c>
      <c r="M9" s="237">
        <f>세입명세서!M11</f>
        <v>25000000</v>
      </c>
      <c r="N9" s="237">
        <v>25000000</v>
      </c>
      <c r="O9" s="237">
        <f>세입명세서!O11</f>
        <v>25000000</v>
      </c>
      <c r="P9" s="237">
        <f>세입명세서!P11</f>
        <v>25000000</v>
      </c>
      <c r="Q9" s="237">
        <f>세입명세서!Q11</f>
        <v>25000000</v>
      </c>
      <c r="R9" s="238">
        <f t="shared" si="7"/>
        <v>0</v>
      </c>
      <c r="S9" s="301"/>
      <c r="T9" s="34"/>
      <c r="U9" s="33" t="s">
        <v>36</v>
      </c>
      <c r="V9" s="328" t="e">
        <f>#REF!</f>
        <v>#REF!</v>
      </c>
      <c r="W9" s="332" t="e">
        <f>세출명세서!#REF!</f>
        <v>#REF!</v>
      </c>
      <c r="X9" s="332" t="e">
        <f>세출명세서!#REF!</f>
        <v>#REF!</v>
      </c>
      <c r="Y9" s="328">
        <v>13055000</v>
      </c>
      <c r="Z9" s="329">
        <v>12495000</v>
      </c>
      <c r="AA9" s="330">
        <f>세출명세서!I21</f>
        <v>10200000</v>
      </c>
      <c r="AB9" s="330">
        <f>세출명세서!J21</f>
        <v>10900000</v>
      </c>
      <c r="AC9" s="328">
        <v>11800000</v>
      </c>
      <c r="AD9" s="201">
        <f>세출명세서!L21</f>
        <v>11800000</v>
      </c>
      <c r="AE9" s="201">
        <f>세출명세서!M21</f>
        <v>13200000</v>
      </c>
      <c r="AF9" s="201">
        <v>13200000</v>
      </c>
      <c r="AG9" s="201">
        <f>세출명세서!O21</f>
        <v>13200000</v>
      </c>
      <c r="AH9" s="201">
        <f>세출명세서!P21</f>
        <v>13200000</v>
      </c>
      <c r="AI9" s="201">
        <f>세출명세서!Q21</f>
        <v>13200000</v>
      </c>
      <c r="AJ9" s="190">
        <f t="shared" ref="AJ9:AJ64" si="11">AI9-AH9</f>
        <v>0</v>
      </c>
    </row>
    <row r="10" spans="1:38" s="231" customFormat="1" ht="22.5" customHeight="1">
      <c r="A10" s="306"/>
      <c r="B10" s="239"/>
      <c r="C10" s="331" t="s">
        <v>413</v>
      </c>
      <c r="D10" s="234"/>
      <c r="E10" s="235"/>
      <c r="F10" s="234"/>
      <c r="G10" s="236"/>
      <c r="H10" s="324"/>
      <c r="I10" s="237"/>
      <c r="J10" s="237"/>
      <c r="K10" s="237"/>
      <c r="L10" s="237">
        <f>세입명세서!L12</f>
        <v>39000000</v>
      </c>
      <c r="M10" s="237">
        <f>세입명세서!M12</f>
        <v>39000000</v>
      </c>
      <c r="N10" s="237">
        <v>39000000</v>
      </c>
      <c r="O10" s="237">
        <f>세입명세서!O12</f>
        <v>39000000</v>
      </c>
      <c r="P10" s="237">
        <f>세입명세서!P12</f>
        <v>39000000</v>
      </c>
      <c r="Q10" s="237">
        <f>세입명세서!Q12</f>
        <v>39325000</v>
      </c>
      <c r="R10" s="238">
        <f t="shared" si="7"/>
        <v>325000</v>
      </c>
      <c r="S10" s="301"/>
      <c r="T10" s="34"/>
      <c r="U10" s="33" t="s">
        <v>13</v>
      </c>
      <c r="V10" s="328" t="e">
        <f>#REF!</f>
        <v>#REF!</v>
      </c>
      <c r="W10" s="332">
        <f>세출명세서!E23</f>
        <v>49755000</v>
      </c>
      <c r="X10" s="332">
        <f>세출명세서!F23</f>
        <v>49497000</v>
      </c>
      <c r="Y10" s="328">
        <v>46019000</v>
      </c>
      <c r="Z10" s="329">
        <v>48790000</v>
      </c>
      <c r="AA10" s="330">
        <f>세출명세서!I23</f>
        <v>58956000</v>
      </c>
      <c r="AB10" s="330">
        <f>세출명세서!J23</f>
        <v>63906000</v>
      </c>
      <c r="AC10" s="328">
        <v>63247000</v>
      </c>
      <c r="AD10" s="201">
        <f>세출명세서!L23</f>
        <v>63247000</v>
      </c>
      <c r="AE10" s="201">
        <f>세출명세서!M23</f>
        <v>70633000</v>
      </c>
      <c r="AF10" s="201">
        <v>64007000</v>
      </c>
      <c r="AG10" s="201">
        <f>세출명세서!O23</f>
        <v>63059000</v>
      </c>
      <c r="AH10" s="201">
        <f>세출명세서!P23</f>
        <v>62618000</v>
      </c>
      <c r="AI10" s="201">
        <f>세출명세서!Q23</f>
        <v>63312000</v>
      </c>
      <c r="AJ10" s="190">
        <f t="shared" si="11"/>
        <v>694000</v>
      </c>
    </row>
    <row r="11" spans="1:38" s="231" customFormat="1" ht="22.5" customHeight="1">
      <c r="A11" s="306"/>
      <c r="B11" s="239"/>
      <c r="C11" s="331" t="s">
        <v>414</v>
      </c>
      <c r="D11" s="234"/>
      <c r="E11" s="235"/>
      <c r="F11" s="234"/>
      <c r="G11" s="236"/>
      <c r="H11" s="324"/>
      <c r="I11" s="237"/>
      <c r="J11" s="237"/>
      <c r="K11" s="237"/>
      <c r="L11" s="237">
        <f>세입명세서!L13</f>
        <v>10320000</v>
      </c>
      <c r="M11" s="237">
        <f>세입명세서!M13</f>
        <v>10320000</v>
      </c>
      <c r="N11" s="237">
        <v>15000000</v>
      </c>
      <c r="O11" s="237">
        <f>세입명세서!O13</f>
        <v>15000000</v>
      </c>
      <c r="P11" s="237">
        <f>세입명세서!P13</f>
        <v>15000000</v>
      </c>
      <c r="Q11" s="237">
        <f>세입명세서!Q13</f>
        <v>15093000</v>
      </c>
      <c r="R11" s="238">
        <f t="shared" si="7"/>
        <v>93000</v>
      </c>
      <c r="S11" s="301"/>
      <c r="T11" s="34"/>
      <c r="U11" s="35" t="s">
        <v>32</v>
      </c>
      <c r="V11" s="328" t="e">
        <f>#REF!</f>
        <v>#REF!</v>
      </c>
      <c r="W11" s="332">
        <f>세출명세서!E33</f>
        <v>26639000</v>
      </c>
      <c r="X11" s="332">
        <f>세출명세서!F33</f>
        <v>26612000</v>
      </c>
      <c r="Y11" s="328">
        <v>25494000</v>
      </c>
      <c r="Z11" s="329">
        <v>32816000</v>
      </c>
      <c r="AA11" s="330">
        <f>세출명세서!I33</f>
        <v>27367000</v>
      </c>
      <c r="AB11" s="330">
        <f>세출명세서!J33</f>
        <v>28936000</v>
      </c>
      <c r="AC11" s="328">
        <v>28001000</v>
      </c>
      <c r="AD11" s="201">
        <f>세출명세서!L33</f>
        <v>28001000</v>
      </c>
      <c r="AE11" s="201">
        <f>세출명세서!M33</f>
        <v>28938000</v>
      </c>
      <c r="AF11" s="201">
        <v>29579000</v>
      </c>
      <c r="AG11" s="201">
        <f>세출명세서!O33</f>
        <v>29311000</v>
      </c>
      <c r="AH11" s="201">
        <f>세출명세서!P33</f>
        <v>29509000</v>
      </c>
      <c r="AI11" s="201">
        <f>세출명세서!Q33</f>
        <v>30573000</v>
      </c>
      <c r="AJ11" s="190">
        <f t="shared" si="11"/>
        <v>1064000</v>
      </c>
    </row>
    <row r="12" spans="1:38" s="231" customFormat="1" ht="22.5" customHeight="1">
      <c r="A12" s="306"/>
      <c r="B12" s="239"/>
      <c r="C12" s="331" t="s">
        <v>415</v>
      </c>
      <c r="D12" s="234"/>
      <c r="E12" s="235"/>
      <c r="F12" s="234"/>
      <c r="G12" s="236"/>
      <c r="H12" s="324"/>
      <c r="I12" s="237"/>
      <c r="J12" s="237"/>
      <c r="K12" s="237"/>
      <c r="L12" s="237">
        <f>세입명세서!L14</f>
        <v>1279600000</v>
      </c>
      <c r="M12" s="237">
        <f>세입명세서!M14</f>
        <v>2036000000</v>
      </c>
      <c r="N12" s="237">
        <v>2037900000</v>
      </c>
      <c r="O12" s="237">
        <f>세입명세서!O14</f>
        <v>2037900000</v>
      </c>
      <c r="P12" s="237">
        <f>세입명세서!P14</f>
        <v>2037900000</v>
      </c>
      <c r="Q12" s="237">
        <f>세입명세서!Q14</f>
        <v>2037300000</v>
      </c>
      <c r="R12" s="238">
        <f t="shared" si="7"/>
        <v>-600000</v>
      </c>
      <c r="S12" s="301"/>
      <c r="T12" s="34"/>
      <c r="U12" s="36" t="s">
        <v>33</v>
      </c>
      <c r="V12" s="328" t="e">
        <f>#REF!</f>
        <v>#REF!</v>
      </c>
      <c r="W12" s="332">
        <f>세출명세서!E38</f>
        <v>25005000</v>
      </c>
      <c r="X12" s="332">
        <f>세출명세서!F38</f>
        <v>25005000</v>
      </c>
      <c r="Y12" s="328">
        <v>23880000</v>
      </c>
      <c r="Z12" s="329">
        <v>26154000</v>
      </c>
      <c r="AA12" s="330">
        <f>세출명세서!I38</f>
        <v>27240000</v>
      </c>
      <c r="AB12" s="330">
        <f>세출명세서!J38</f>
        <v>29212000</v>
      </c>
      <c r="AC12" s="328">
        <v>29291000</v>
      </c>
      <c r="AD12" s="201">
        <f>세출명세서!L38</f>
        <v>31440000</v>
      </c>
      <c r="AE12" s="201">
        <f>세출명세서!M38</f>
        <v>35055000</v>
      </c>
      <c r="AF12" s="201">
        <v>34257000</v>
      </c>
      <c r="AG12" s="201">
        <f>세출명세서!O38</f>
        <v>34257000</v>
      </c>
      <c r="AH12" s="201">
        <f>세출명세서!P38</f>
        <v>34257000</v>
      </c>
      <c r="AI12" s="201">
        <f>세출명세서!Q38</f>
        <v>34638000</v>
      </c>
      <c r="AJ12" s="190">
        <f t="shared" si="11"/>
        <v>381000</v>
      </c>
    </row>
    <row r="13" spans="1:38" s="231" customFormat="1" ht="22.5" customHeight="1">
      <c r="A13" s="306"/>
      <c r="B13" s="239"/>
      <c r="C13" s="331" t="s">
        <v>416</v>
      </c>
      <c r="D13" s="234"/>
      <c r="E13" s="235"/>
      <c r="F13" s="234"/>
      <c r="G13" s="236"/>
      <c r="H13" s="324"/>
      <c r="I13" s="237"/>
      <c r="J13" s="237"/>
      <c r="K13" s="237"/>
      <c r="L13" s="237">
        <f>세입명세서!L16</f>
        <v>68055000</v>
      </c>
      <c r="M13" s="237">
        <f>세입명세서!M16</f>
        <v>120250000</v>
      </c>
      <c r="N13" s="237">
        <v>120250000</v>
      </c>
      <c r="O13" s="237">
        <f>세입명세서!O16</f>
        <v>120250000</v>
      </c>
      <c r="P13" s="237">
        <f>세입명세서!P16</f>
        <v>120250000</v>
      </c>
      <c r="Q13" s="237">
        <f>세입명세서!Q16</f>
        <v>122005000</v>
      </c>
      <c r="R13" s="238">
        <f t="shared" si="7"/>
        <v>1755000</v>
      </c>
      <c r="S13" s="301"/>
      <c r="T13" s="30" t="s">
        <v>38</v>
      </c>
      <c r="U13" s="37" t="s">
        <v>11</v>
      </c>
      <c r="V13" s="333" t="e">
        <f t="shared" ref="V13:X13" si="12">SUM(V15:V15)</f>
        <v>#REF!</v>
      </c>
      <c r="W13" s="334">
        <f t="shared" si="12"/>
        <v>12600000</v>
      </c>
      <c r="X13" s="334">
        <f t="shared" si="12"/>
        <v>12600000</v>
      </c>
      <c r="Y13" s="333">
        <f>SUM(Y14:Y15)</f>
        <v>11750000</v>
      </c>
      <c r="Z13" s="335">
        <f>SUM(Z14:Z15)</f>
        <v>12900000</v>
      </c>
      <c r="AA13" s="336">
        <f>SUM(AA14:AA15)</f>
        <v>9240000</v>
      </c>
      <c r="AB13" s="336">
        <f t="shared" ref="AB13:AI13" si="13">SUM(AB14:AB16)</f>
        <v>10600000</v>
      </c>
      <c r="AC13" s="333">
        <f t="shared" si="13"/>
        <v>10600000</v>
      </c>
      <c r="AD13" s="202">
        <f t="shared" si="13"/>
        <v>10600000</v>
      </c>
      <c r="AE13" s="202">
        <f t="shared" si="13"/>
        <v>10640000</v>
      </c>
      <c r="AF13" s="202">
        <f t="shared" si="13"/>
        <v>10640000</v>
      </c>
      <c r="AG13" s="202">
        <f t="shared" si="13"/>
        <v>10640000</v>
      </c>
      <c r="AH13" s="202">
        <f t="shared" ref="AH13" si="14">SUM(AH14:AH16)</f>
        <v>10640000</v>
      </c>
      <c r="AI13" s="202">
        <f t="shared" si="13"/>
        <v>10640000</v>
      </c>
      <c r="AJ13" s="552">
        <f t="shared" si="11"/>
        <v>0</v>
      </c>
    </row>
    <row r="14" spans="1:38" s="231" customFormat="1" ht="22.5" customHeight="1">
      <c r="A14" s="306"/>
      <c r="B14" s="239"/>
      <c r="C14" s="331" t="s">
        <v>417</v>
      </c>
      <c r="D14" s="234"/>
      <c r="E14" s="235"/>
      <c r="F14" s="234"/>
      <c r="G14" s="236"/>
      <c r="H14" s="324"/>
      <c r="I14" s="237"/>
      <c r="J14" s="237"/>
      <c r="K14" s="237"/>
      <c r="L14" s="237">
        <f>세입명세서!L17</f>
        <v>24710000</v>
      </c>
      <c r="M14" s="237">
        <f>세입명세서!M17</f>
        <v>25641000</v>
      </c>
      <c r="N14" s="237">
        <v>27535000</v>
      </c>
      <c r="O14" s="237">
        <f>세입명세서!O17</f>
        <v>27535000</v>
      </c>
      <c r="P14" s="237">
        <f>세입명세서!P17</f>
        <v>27535000</v>
      </c>
      <c r="Q14" s="237">
        <f>세입명세서!Q17</f>
        <v>28060000</v>
      </c>
      <c r="R14" s="238">
        <f t="shared" si="7"/>
        <v>525000</v>
      </c>
      <c r="S14" s="301"/>
      <c r="T14" s="169"/>
      <c r="U14" s="168" t="s">
        <v>203</v>
      </c>
      <c r="V14" s="337"/>
      <c r="W14" s="338"/>
      <c r="X14" s="338"/>
      <c r="Y14" s="337">
        <f>세출명세서!F44</f>
        <v>0</v>
      </c>
      <c r="Z14" s="339">
        <f>세출명세서!H44</f>
        <v>300000</v>
      </c>
      <c r="AA14" s="340">
        <f>세출명세서!I44</f>
        <v>1440000</v>
      </c>
      <c r="AB14" s="340">
        <f>세출명세서!J44</f>
        <v>1200000</v>
      </c>
      <c r="AC14" s="337">
        <f>세출명세서!J44</f>
        <v>1200000</v>
      </c>
      <c r="AD14" s="203">
        <f>세출명세서!L44</f>
        <v>1200000</v>
      </c>
      <c r="AE14" s="203">
        <f>세출명세서!M44</f>
        <v>1200000</v>
      </c>
      <c r="AF14" s="203">
        <v>1200000</v>
      </c>
      <c r="AG14" s="203">
        <f>세출명세서!O44</f>
        <v>1200000</v>
      </c>
      <c r="AH14" s="203">
        <f>세출명세서!P44</f>
        <v>1200000</v>
      </c>
      <c r="AI14" s="203">
        <f>세출명세서!Q44</f>
        <v>1200000</v>
      </c>
      <c r="AJ14" s="190">
        <f t="shared" si="11"/>
        <v>0</v>
      </c>
    </row>
    <row r="15" spans="1:38" s="231" customFormat="1" ht="22.5" customHeight="1">
      <c r="A15" s="306"/>
      <c r="B15" s="239"/>
      <c r="C15" s="331" t="s">
        <v>418</v>
      </c>
      <c r="D15" s="234"/>
      <c r="E15" s="235"/>
      <c r="F15" s="234"/>
      <c r="G15" s="236"/>
      <c r="H15" s="324"/>
      <c r="I15" s="237"/>
      <c r="J15" s="237"/>
      <c r="K15" s="237"/>
      <c r="L15" s="237">
        <f>세입명세서!L18</f>
        <v>15000000</v>
      </c>
      <c r="M15" s="237">
        <f>세입명세서!M18</f>
        <v>15000000</v>
      </c>
      <c r="N15" s="237">
        <v>15432000</v>
      </c>
      <c r="O15" s="237">
        <f>세입명세서!O18</f>
        <v>15432000</v>
      </c>
      <c r="P15" s="237">
        <f>세입명세서!P18</f>
        <v>15432000</v>
      </c>
      <c r="Q15" s="237">
        <f>세입명세서!Q18</f>
        <v>15432000</v>
      </c>
      <c r="R15" s="238">
        <f t="shared" si="7"/>
        <v>0</v>
      </c>
      <c r="S15" s="301"/>
      <c r="T15" s="59">
        <f>AI13/AI5*100</f>
        <v>0.33280763906135735</v>
      </c>
      <c r="U15" s="39" t="s">
        <v>31</v>
      </c>
      <c r="V15" s="341" t="e">
        <f>#REF!</f>
        <v>#REF!</v>
      </c>
      <c r="W15" s="342">
        <f>세출명세서!E45</f>
        <v>12600000</v>
      </c>
      <c r="X15" s="342">
        <f>세출명세서!F45</f>
        <v>12600000</v>
      </c>
      <c r="Y15" s="341">
        <v>11750000</v>
      </c>
      <c r="Z15" s="343">
        <f>세출명세서!H45</f>
        <v>12600000</v>
      </c>
      <c r="AA15" s="344">
        <f>세출명세서!I45</f>
        <v>7800000</v>
      </c>
      <c r="AB15" s="344">
        <f>세출명세서!J45</f>
        <v>7800000</v>
      </c>
      <c r="AC15" s="341">
        <f>세출명세서!J45</f>
        <v>7800000</v>
      </c>
      <c r="AD15" s="204">
        <f>세출명세서!L45</f>
        <v>7800000</v>
      </c>
      <c r="AE15" s="204">
        <f>세출명세서!M45</f>
        <v>7800000</v>
      </c>
      <c r="AF15" s="204">
        <v>7800000</v>
      </c>
      <c r="AG15" s="204">
        <f>세출명세서!O45</f>
        <v>7800000</v>
      </c>
      <c r="AH15" s="204">
        <f>세출명세서!P45</f>
        <v>7800000</v>
      </c>
      <c r="AI15" s="204">
        <f>세출명세서!Q45</f>
        <v>7800000</v>
      </c>
      <c r="AJ15" s="190">
        <f t="shared" si="11"/>
        <v>0</v>
      </c>
    </row>
    <row r="16" spans="1:38" s="231" customFormat="1" ht="22.5" customHeight="1">
      <c r="A16" s="306"/>
      <c r="B16" s="239"/>
      <c r="C16" s="331" t="s">
        <v>419</v>
      </c>
      <c r="D16" s="234"/>
      <c r="E16" s="235"/>
      <c r="F16" s="234"/>
      <c r="G16" s="236"/>
      <c r="H16" s="324"/>
      <c r="I16" s="237"/>
      <c r="J16" s="237"/>
      <c r="K16" s="237"/>
      <c r="L16" s="237">
        <f>세입명세서!L19</f>
        <v>41088000</v>
      </c>
      <c r="M16" s="237">
        <f>세입명세서!M19</f>
        <v>22966000</v>
      </c>
      <c r="N16" s="237">
        <v>23067000</v>
      </c>
      <c r="O16" s="237">
        <f>세입명세서!O19</f>
        <v>23067000</v>
      </c>
      <c r="P16" s="237">
        <f>세입명세서!P19</f>
        <v>23067000</v>
      </c>
      <c r="Q16" s="237">
        <f>세입명세서!Q19</f>
        <v>0</v>
      </c>
      <c r="R16" s="238">
        <f t="shared" si="7"/>
        <v>-23067000</v>
      </c>
      <c r="S16" s="301"/>
      <c r="T16" s="59"/>
      <c r="U16" s="39" t="s">
        <v>23</v>
      </c>
      <c r="V16" s="341"/>
      <c r="W16" s="342"/>
      <c r="X16" s="342"/>
      <c r="Y16" s="341"/>
      <c r="Z16" s="343"/>
      <c r="AA16" s="344">
        <v>0</v>
      </c>
      <c r="AB16" s="344">
        <f>세출명세서!J48</f>
        <v>1600000</v>
      </c>
      <c r="AC16" s="341">
        <f>세출명세서!J48</f>
        <v>1600000</v>
      </c>
      <c r="AD16" s="204">
        <f>세출명세서!L48</f>
        <v>1600000</v>
      </c>
      <c r="AE16" s="204">
        <f>세출명세서!M48</f>
        <v>1640000</v>
      </c>
      <c r="AF16" s="204">
        <v>1640000</v>
      </c>
      <c r="AG16" s="204">
        <f>세출명세서!O48</f>
        <v>1640000</v>
      </c>
      <c r="AH16" s="204">
        <f>세출명세서!P48</f>
        <v>1640000</v>
      </c>
      <c r="AI16" s="204">
        <f>세출명세서!Q48</f>
        <v>1640000</v>
      </c>
      <c r="AJ16" s="190">
        <f t="shared" si="11"/>
        <v>0</v>
      </c>
    </row>
    <row r="17" spans="1:40" s="231" customFormat="1" ht="22.5" customHeight="1">
      <c r="A17" s="306"/>
      <c r="B17" s="239"/>
      <c r="C17" s="331" t="s">
        <v>420</v>
      </c>
      <c r="D17" s="234"/>
      <c r="E17" s="235"/>
      <c r="F17" s="234"/>
      <c r="G17" s="236"/>
      <c r="H17" s="324"/>
      <c r="I17" s="237"/>
      <c r="J17" s="237"/>
      <c r="K17" s="237"/>
      <c r="L17" s="237">
        <f>세입명세서!L20</f>
        <v>86490000</v>
      </c>
      <c r="M17" s="237">
        <f>세입명세서!M20</f>
        <v>39540000</v>
      </c>
      <c r="N17" s="237">
        <v>39540000</v>
      </c>
      <c r="O17" s="237">
        <f>세입명세서!O20</f>
        <v>39540000</v>
      </c>
      <c r="P17" s="237">
        <f>세입명세서!P20</f>
        <v>39540000</v>
      </c>
      <c r="Q17" s="237">
        <f>세입명세서!Q20</f>
        <v>36930000</v>
      </c>
      <c r="R17" s="238">
        <f t="shared" si="7"/>
        <v>-2610000</v>
      </c>
      <c r="S17" s="301"/>
      <c r="T17" s="302" t="s">
        <v>8</v>
      </c>
      <c r="U17" s="41" t="s">
        <v>11</v>
      </c>
      <c r="V17" s="345" t="e">
        <f>SUM(V18:V22)</f>
        <v>#REF!</v>
      </c>
      <c r="W17" s="346">
        <f>SUM(W18:W22)</f>
        <v>99029000</v>
      </c>
      <c r="X17" s="346">
        <f>SUM(X18:X22)</f>
        <v>99161000</v>
      </c>
      <c r="Y17" s="345">
        <f t="shared" ref="Y17:AI17" si="15">SUM(Y18:Y23)</f>
        <v>104555000</v>
      </c>
      <c r="Z17" s="347">
        <f t="shared" si="15"/>
        <v>96576000</v>
      </c>
      <c r="AA17" s="348">
        <f t="shared" si="15"/>
        <v>109153000</v>
      </c>
      <c r="AB17" s="348">
        <f t="shared" si="15"/>
        <v>106061000</v>
      </c>
      <c r="AC17" s="345">
        <f t="shared" si="15"/>
        <v>117559000</v>
      </c>
      <c r="AD17" s="205">
        <f t="shared" si="15"/>
        <v>120269000</v>
      </c>
      <c r="AE17" s="205">
        <f t="shared" si="15"/>
        <v>119144000</v>
      </c>
      <c r="AF17" s="205">
        <f t="shared" si="15"/>
        <v>121886000</v>
      </c>
      <c r="AG17" s="205">
        <f t="shared" si="15"/>
        <v>108616000</v>
      </c>
      <c r="AH17" s="205">
        <f t="shared" ref="AH17" si="16">SUM(AH18:AH23)</f>
        <v>101646000</v>
      </c>
      <c r="AI17" s="205">
        <f t="shared" si="15"/>
        <v>131460000</v>
      </c>
      <c r="AJ17" s="552">
        <f t="shared" si="11"/>
        <v>29814000</v>
      </c>
    </row>
    <row r="18" spans="1:40" s="231" customFormat="1" ht="22.5" customHeight="1">
      <c r="A18" s="308"/>
      <c r="B18" s="239"/>
      <c r="C18" s="331" t="s">
        <v>614</v>
      </c>
      <c r="D18" s="234"/>
      <c r="E18" s="235"/>
      <c r="F18" s="234"/>
      <c r="G18" s="236"/>
      <c r="H18" s="324"/>
      <c r="I18" s="237"/>
      <c r="J18" s="237"/>
      <c r="K18" s="237"/>
      <c r="L18" s="237"/>
      <c r="M18" s="237"/>
      <c r="N18" s="237"/>
      <c r="O18" s="237"/>
      <c r="P18" s="237">
        <v>0</v>
      </c>
      <c r="Q18" s="237">
        <f>세입명세서!Q21</f>
        <v>35000000</v>
      </c>
      <c r="R18" s="238">
        <f t="shared" si="7"/>
        <v>35000000</v>
      </c>
      <c r="S18" s="301"/>
      <c r="T18" s="32">
        <f>AI17/AI5*100</f>
        <v>4.1119259615607175</v>
      </c>
      <c r="U18" s="44" t="s">
        <v>20</v>
      </c>
      <c r="V18" s="349" t="e">
        <f>#REF!</f>
        <v>#REF!</v>
      </c>
      <c r="W18" s="350">
        <f>세출명세서!E55</f>
        <v>600000</v>
      </c>
      <c r="X18" s="350">
        <f>세출명세서!F55</f>
        <v>600000</v>
      </c>
      <c r="Y18" s="349">
        <f>세출명세서!F55</f>
        <v>600000</v>
      </c>
      <c r="Z18" s="351">
        <f>세출명세서!H55</f>
        <v>600000</v>
      </c>
      <c r="AA18" s="352">
        <f>세출명세서!I55</f>
        <v>1800000</v>
      </c>
      <c r="AB18" s="352">
        <f>세출명세서!J55</f>
        <v>1800000</v>
      </c>
      <c r="AC18" s="349">
        <v>2400000</v>
      </c>
      <c r="AD18" s="206">
        <f>세출명세서!L55</f>
        <v>2400000</v>
      </c>
      <c r="AE18" s="206">
        <f>세출명세서!M55</f>
        <v>2400000</v>
      </c>
      <c r="AF18" s="206">
        <v>2400000</v>
      </c>
      <c r="AG18" s="206">
        <f>세출명세서!O55</f>
        <v>1200000</v>
      </c>
      <c r="AH18" s="206">
        <f>세출명세서!P55</f>
        <v>1200000</v>
      </c>
      <c r="AI18" s="206">
        <f>세출명세서!Q55</f>
        <v>2400000</v>
      </c>
      <c r="AJ18" s="190">
        <f t="shared" si="11"/>
        <v>1200000</v>
      </c>
    </row>
    <row r="19" spans="1:40" s="231" customFormat="1" ht="22.5" customHeight="1">
      <c r="A19" s="306"/>
      <c r="B19" s="239"/>
      <c r="C19" s="331" t="s">
        <v>421</v>
      </c>
      <c r="D19" s="234"/>
      <c r="E19" s="235"/>
      <c r="F19" s="234"/>
      <c r="G19" s="236"/>
      <c r="H19" s="324"/>
      <c r="I19" s="237"/>
      <c r="J19" s="237"/>
      <c r="K19" s="237"/>
      <c r="L19" s="237">
        <f>세입명세서!L22</f>
        <v>130000000</v>
      </c>
      <c r="M19" s="237">
        <f>세입명세서!M22</f>
        <v>0</v>
      </c>
      <c r="N19" s="237">
        <v>0</v>
      </c>
      <c r="O19" s="237">
        <f>세입명세서!O22</f>
        <v>0</v>
      </c>
      <c r="P19" s="237">
        <f>세입명세서!P22</f>
        <v>0</v>
      </c>
      <c r="Q19" s="237">
        <f>세입명세서!Q22</f>
        <v>0</v>
      </c>
      <c r="R19" s="238">
        <f t="shared" si="7"/>
        <v>0</v>
      </c>
      <c r="S19" s="301"/>
      <c r="T19" s="34"/>
      <c r="U19" s="36" t="s">
        <v>34</v>
      </c>
      <c r="V19" s="349" t="e">
        <f>#REF!</f>
        <v>#REF!</v>
      </c>
      <c r="W19" s="350">
        <f>세출명세서!E56</f>
        <v>16236000</v>
      </c>
      <c r="X19" s="350">
        <f>세출명세서!F56</f>
        <v>16368000</v>
      </c>
      <c r="Y19" s="349">
        <v>18372000</v>
      </c>
      <c r="Z19" s="351">
        <v>18568000</v>
      </c>
      <c r="AA19" s="352">
        <f>세출명세서!I56</f>
        <v>23440000</v>
      </c>
      <c r="AB19" s="352">
        <f>세출명세서!J56</f>
        <v>18868000</v>
      </c>
      <c r="AC19" s="349">
        <v>23366000</v>
      </c>
      <c r="AD19" s="206">
        <f>세출명세서!L56</f>
        <v>24446000</v>
      </c>
      <c r="AE19" s="206">
        <f>세출명세서!M56</f>
        <v>25746000</v>
      </c>
      <c r="AF19" s="206">
        <v>28478000</v>
      </c>
      <c r="AG19" s="206">
        <f>세출명세서!O56</f>
        <v>28478000</v>
      </c>
      <c r="AH19" s="206">
        <f>세출명세서!P56</f>
        <v>29178000</v>
      </c>
      <c r="AI19" s="206">
        <f>세출명세서!Q56</f>
        <v>33482000</v>
      </c>
      <c r="AJ19" s="190">
        <f t="shared" si="11"/>
        <v>4304000</v>
      </c>
    </row>
    <row r="20" spans="1:40" s="231" customFormat="1" ht="22.5" customHeight="1">
      <c r="A20" s="306"/>
      <c r="B20" s="239"/>
      <c r="C20" s="331" t="s">
        <v>422</v>
      </c>
      <c r="D20" s="234"/>
      <c r="E20" s="235"/>
      <c r="F20" s="234"/>
      <c r="G20" s="236"/>
      <c r="H20" s="324"/>
      <c r="I20" s="237"/>
      <c r="J20" s="237"/>
      <c r="K20" s="237"/>
      <c r="L20" s="237">
        <f t="shared" ref="L20:Q20" si="17">SUM(L21:L25)</f>
        <v>5040000</v>
      </c>
      <c r="M20" s="237">
        <f t="shared" si="17"/>
        <v>4890000</v>
      </c>
      <c r="N20" s="237">
        <f t="shared" si="17"/>
        <v>6490000</v>
      </c>
      <c r="O20" s="237">
        <f t="shared" si="17"/>
        <v>13040000</v>
      </c>
      <c r="P20" s="237">
        <f t="shared" si="17"/>
        <v>13040000</v>
      </c>
      <c r="Q20" s="237">
        <f t="shared" si="17"/>
        <v>500000</v>
      </c>
      <c r="R20" s="238">
        <f t="shared" si="7"/>
        <v>-12540000</v>
      </c>
      <c r="S20" s="301"/>
      <c r="T20" s="34"/>
      <c r="U20" s="33" t="s">
        <v>14</v>
      </c>
      <c r="V20" s="353" t="e">
        <f>#REF!</f>
        <v>#REF!</v>
      </c>
      <c r="W20" s="354">
        <f>세출명세서!E71</f>
        <v>48535000</v>
      </c>
      <c r="X20" s="354">
        <f>세출명세서!F71</f>
        <v>48535000</v>
      </c>
      <c r="Y20" s="353">
        <v>48535000</v>
      </c>
      <c r="Z20" s="355">
        <f>세출명세서!H71</f>
        <v>46135000</v>
      </c>
      <c r="AA20" s="356">
        <f>세출명세서!I71</f>
        <v>47550000</v>
      </c>
      <c r="AB20" s="356">
        <f>세출명세서!J71</f>
        <v>47550000</v>
      </c>
      <c r="AC20" s="353">
        <v>49350000</v>
      </c>
      <c r="AD20" s="207">
        <f>세출명세서!L71</f>
        <v>49350000</v>
      </c>
      <c r="AE20" s="207">
        <f>세출명세서!M71</f>
        <v>49585000</v>
      </c>
      <c r="AF20" s="207">
        <v>49585000</v>
      </c>
      <c r="AG20" s="207">
        <f>세출명세서!O71</f>
        <v>47135000</v>
      </c>
      <c r="AH20" s="207">
        <f>세출명세서!P71</f>
        <v>38735000</v>
      </c>
      <c r="AI20" s="207">
        <f>세출명세서!Q71</f>
        <v>52785000</v>
      </c>
      <c r="AJ20" s="190">
        <f t="shared" si="11"/>
        <v>14050000</v>
      </c>
    </row>
    <row r="21" spans="1:40" s="231" customFormat="1" ht="22.5" customHeight="1">
      <c r="A21" s="306"/>
      <c r="B21" s="239"/>
      <c r="C21" s="331" t="s">
        <v>423</v>
      </c>
      <c r="D21" s="234"/>
      <c r="E21" s="235"/>
      <c r="F21" s="234"/>
      <c r="G21" s="236"/>
      <c r="H21" s="324"/>
      <c r="I21" s="237"/>
      <c r="J21" s="237"/>
      <c r="K21" s="237"/>
      <c r="L21" s="237">
        <f>세입명세서!L24</f>
        <v>500000</v>
      </c>
      <c r="M21" s="237">
        <f>세입명세서!M24</f>
        <v>350000</v>
      </c>
      <c r="N21" s="237">
        <v>350000</v>
      </c>
      <c r="O21" s="237">
        <f>세입명세서!O24</f>
        <v>500000</v>
      </c>
      <c r="P21" s="237">
        <f>세입명세서!P24</f>
        <v>500000</v>
      </c>
      <c r="Q21" s="237">
        <f>세입명세서!Q24</f>
        <v>500000</v>
      </c>
      <c r="R21" s="238">
        <f t="shared" si="7"/>
        <v>0</v>
      </c>
      <c r="S21" s="301"/>
      <c r="T21" s="34"/>
      <c r="U21" s="33" t="s">
        <v>19</v>
      </c>
      <c r="V21" s="353" t="e">
        <f>#REF!</f>
        <v>#REF!</v>
      </c>
      <c r="W21" s="354">
        <f>세출명세서!E78</f>
        <v>16058000</v>
      </c>
      <c r="X21" s="354">
        <f>세출명세서!F78</f>
        <v>16058000</v>
      </c>
      <c r="Y21" s="353">
        <v>19848000</v>
      </c>
      <c r="Z21" s="355">
        <v>13273000</v>
      </c>
      <c r="AA21" s="356">
        <f>세출명세서!I78</f>
        <v>14363000</v>
      </c>
      <c r="AB21" s="356">
        <f>세출명세서!J78</f>
        <v>14643000</v>
      </c>
      <c r="AC21" s="353">
        <f>세출명세서!J78</f>
        <v>14643000</v>
      </c>
      <c r="AD21" s="207">
        <f>세출명세서!L78</f>
        <v>16273000</v>
      </c>
      <c r="AE21" s="207">
        <f>세출명세서!M78</f>
        <v>14893000</v>
      </c>
      <c r="AF21" s="207">
        <v>14903000</v>
      </c>
      <c r="AG21" s="207">
        <f>세출명세서!O78</f>
        <v>14903000</v>
      </c>
      <c r="AH21" s="207">
        <f>세출명세서!P78</f>
        <v>15633000</v>
      </c>
      <c r="AI21" s="207">
        <f>세출명세서!Q78</f>
        <v>15593000</v>
      </c>
      <c r="AJ21" s="190">
        <f t="shared" si="11"/>
        <v>-40000</v>
      </c>
    </row>
    <row r="22" spans="1:40" s="231" customFormat="1" ht="22.5" customHeight="1">
      <c r="A22" s="306"/>
      <c r="B22" s="239"/>
      <c r="C22" s="331" t="s">
        <v>424</v>
      </c>
      <c r="D22" s="234"/>
      <c r="E22" s="235"/>
      <c r="F22" s="234"/>
      <c r="G22" s="236"/>
      <c r="H22" s="324"/>
      <c r="I22" s="237"/>
      <c r="J22" s="237"/>
      <c r="K22" s="237"/>
      <c r="L22" s="237">
        <f>세입명세서!L25</f>
        <v>4540000</v>
      </c>
      <c r="M22" s="237">
        <f>세입명세서!M25</f>
        <v>4540000</v>
      </c>
      <c r="N22" s="237">
        <v>4540000</v>
      </c>
      <c r="O22" s="237">
        <f>세입명세서!O25</f>
        <v>4540000</v>
      </c>
      <c r="P22" s="237">
        <f>세입명세서!P25</f>
        <v>4540000</v>
      </c>
      <c r="Q22" s="237">
        <f>세입명세서!Q25</f>
        <v>0</v>
      </c>
      <c r="R22" s="238">
        <f t="shared" si="7"/>
        <v>-4540000</v>
      </c>
      <c r="S22" s="301"/>
      <c r="T22" s="34"/>
      <c r="U22" s="33" t="s">
        <v>15</v>
      </c>
      <c r="V22" s="353" t="e">
        <f>#REF!</f>
        <v>#REF!</v>
      </c>
      <c r="W22" s="354">
        <f>세출명세서!E99</f>
        <v>17600000</v>
      </c>
      <c r="X22" s="354">
        <f>세출명세서!F99</f>
        <v>17600000</v>
      </c>
      <c r="Y22" s="353">
        <v>17200000</v>
      </c>
      <c r="Z22" s="355">
        <f>세출명세서!H99</f>
        <v>17600000</v>
      </c>
      <c r="AA22" s="356">
        <f>세출명세서!I99</f>
        <v>21200000</v>
      </c>
      <c r="AB22" s="356">
        <f>세출명세서!J99</f>
        <v>23200000</v>
      </c>
      <c r="AC22" s="353">
        <v>26600000</v>
      </c>
      <c r="AD22" s="207">
        <f>세출명세서!L99</f>
        <v>26600000</v>
      </c>
      <c r="AE22" s="207">
        <f>세출명세서!M99</f>
        <v>24920000</v>
      </c>
      <c r="AF22" s="207">
        <v>24920000</v>
      </c>
      <c r="AG22" s="207">
        <f>세출명세서!O99</f>
        <v>15300000</v>
      </c>
      <c r="AH22" s="207">
        <f>세출명세서!P99</f>
        <v>15300000</v>
      </c>
      <c r="AI22" s="207">
        <f>세출명세서!Q99</f>
        <v>25600000</v>
      </c>
      <c r="AJ22" s="190">
        <f t="shared" si="11"/>
        <v>10300000</v>
      </c>
    </row>
    <row r="23" spans="1:40" s="231" customFormat="1" ht="22.5" customHeight="1">
      <c r="A23" s="306"/>
      <c r="B23" s="239"/>
      <c r="C23" s="357" t="s">
        <v>425</v>
      </c>
      <c r="D23" s="234"/>
      <c r="E23" s="235"/>
      <c r="F23" s="234"/>
      <c r="G23" s="236"/>
      <c r="H23" s="324"/>
      <c r="I23" s="237"/>
      <c r="J23" s="237"/>
      <c r="K23" s="237"/>
      <c r="L23" s="237">
        <f>세입명세서!L26</f>
        <v>0</v>
      </c>
      <c r="M23" s="237">
        <f>세입명세서!M26</f>
        <v>0</v>
      </c>
      <c r="N23" s="237">
        <v>1600000</v>
      </c>
      <c r="O23" s="237">
        <f>세입명세서!O26</f>
        <v>1600000</v>
      </c>
      <c r="P23" s="237">
        <f>세입명세서!P26</f>
        <v>1600000</v>
      </c>
      <c r="Q23" s="237">
        <f>세입명세서!Q26</f>
        <v>0</v>
      </c>
      <c r="R23" s="238">
        <f t="shared" si="7"/>
        <v>-1600000</v>
      </c>
      <c r="S23" s="301"/>
      <c r="T23" s="34"/>
      <c r="U23" s="33" t="s">
        <v>204</v>
      </c>
      <c r="V23" s="353"/>
      <c r="W23" s="354"/>
      <c r="X23" s="354"/>
      <c r="Y23" s="353">
        <f>세출명세서!F106</f>
        <v>0</v>
      </c>
      <c r="Z23" s="355">
        <f>세출명세서!H106</f>
        <v>400000</v>
      </c>
      <c r="AA23" s="356">
        <f>세출명세서!I106</f>
        <v>800000</v>
      </c>
      <c r="AB23" s="356">
        <f>세출명세서!J106</f>
        <v>0</v>
      </c>
      <c r="AC23" s="353">
        <v>1200000</v>
      </c>
      <c r="AD23" s="207">
        <f>세출명세서!L106</f>
        <v>1200000</v>
      </c>
      <c r="AE23" s="207">
        <f>세출명세서!M106</f>
        <v>1600000</v>
      </c>
      <c r="AF23" s="207">
        <v>1600000</v>
      </c>
      <c r="AG23" s="207">
        <f>세출명세서!O106</f>
        <v>1600000</v>
      </c>
      <c r="AH23" s="207">
        <f>세출명세서!P106</f>
        <v>1600000</v>
      </c>
      <c r="AI23" s="207">
        <f>세출명세서!Q106</f>
        <v>1600000</v>
      </c>
      <c r="AJ23" s="190">
        <f t="shared" si="11"/>
        <v>0</v>
      </c>
      <c r="AL23" s="291"/>
      <c r="AM23" s="291"/>
    </row>
    <row r="24" spans="1:40" s="231" customFormat="1" ht="22.5" customHeight="1">
      <c r="A24" s="306"/>
      <c r="B24" s="239"/>
      <c r="C24" s="357" t="s">
        <v>426</v>
      </c>
      <c r="D24" s="234"/>
      <c r="E24" s="235"/>
      <c r="F24" s="234"/>
      <c r="G24" s="236"/>
      <c r="H24" s="324"/>
      <c r="I24" s="237"/>
      <c r="J24" s="237"/>
      <c r="K24" s="237"/>
      <c r="L24" s="237"/>
      <c r="M24" s="237">
        <f>세입명세서!M27</f>
        <v>0</v>
      </c>
      <c r="N24" s="237">
        <v>0</v>
      </c>
      <c r="O24" s="237">
        <f>세입명세서!O27</f>
        <v>3200000</v>
      </c>
      <c r="P24" s="237">
        <f>세입명세서!P27</f>
        <v>3200000</v>
      </c>
      <c r="Q24" s="237">
        <f>세입명세서!Q27</f>
        <v>0</v>
      </c>
      <c r="R24" s="238">
        <f t="shared" si="7"/>
        <v>-3200000</v>
      </c>
      <c r="S24" s="613" t="s">
        <v>16</v>
      </c>
      <c r="T24" s="46"/>
      <c r="U24" s="47" t="s">
        <v>7</v>
      </c>
      <c r="V24" s="358" t="e">
        <f t="shared" ref="V24:AI24" si="18">V25</f>
        <v>#REF!</v>
      </c>
      <c r="W24" s="359">
        <f t="shared" si="18"/>
        <v>1526000</v>
      </c>
      <c r="X24" s="359" t="e">
        <f t="shared" si="18"/>
        <v>#REF!</v>
      </c>
      <c r="Y24" s="358">
        <f>Y25</f>
        <v>13992000</v>
      </c>
      <c r="Z24" s="360" t="e">
        <f>Z25</f>
        <v>#REF!</v>
      </c>
      <c r="AA24" s="361">
        <f t="shared" si="18"/>
        <v>11370000</v>
      </c>
      <c r="AB24" s="361">
        <f t="shared" si="18"/>
        <v>2720000</v>
      </c>
      <c r="AC24" s="358">
        <f t="shared" si="18"/>
        <v>34020000</v>
      </c>
      <c r="AD24" s="189">
        <f t="shared" si="18"/>
        <v>25970000</v>
      </c>
      <c r="AE24" s="189">
        <f t="shared" si="18"/>
        <v>18850000</v>
      </c>
      <c r="AF24" s="189">
        <f t="shared" si="18"/>
        <v>33513000</v>
      </c>
      <c r="AG24" s="189">
        <f t="shared" si="18"/>
        <v>38213000</v>
      </c>
      <c r="AH24" s="189">
        <f t="shared" si="18"/>
        <v>41083000</v>
      </c>
      <c r="AI24" s="189">
        <f t="shared" si="18"/>
        <v>6490000</v>
      </c>
      <c r="AJ24" s="552">
        <f t="shared" si="11"/>
        <v>-34593000</v>
      </c>
    </row>
    <row r="25" spans="1:40" s="231" customFormat="1" ht="22.5" customHeight="1">
      <c r="A25" s="306"/>
      <c r="B25" s="239"/>
      <c r="C25" s="357" t="s">
        <v>427</v>
      </c>
      <c r="D25" s="234"/>
      <c r="E25" s="235"/>
      <c r="F25" s="234"/>
      <c r="G25" s="236"/>
      <c r="H25" s="324"/>
      <c r="I25" s="237"/>
      <c r="J25" s="237"/>
      <c r="K25" s="237"/>
      <c r="L25" s="237"/>
      <c r="M25" s="237">
        <f>세입명세서!M28</f>
        <v>0</v>
      </c>
      <c r="N25" s="237">
        <v>0</v>
      </c>
      <c r="O25" s="237">
        <f>세입명세서!O28</f>
        <v>3200000</v>
      </c>
      <c r="P25" s="237">
        <f>세입명세서!P28</f>
        <v>3200000</v>
      </c>
      <c r="Q25" s="237">
        <f>세입명세서!Q28</f>
        <v>0</v>
      </c>
      <c r="R25" s="238">
        <f t="shared" si="7"/>
        <v>-3200000</v>
      </c>
      <c r="S25" s="614"/>
      <c r="T25" s="30" t="s">
        <v>17</v>
      </c>
      <c r="U25" s="31" t="s">
        <v>11</v>
      </c>
      <c r="V25" s="325" t="e">
        <f t="shared" ref="V25:X25" si="19">SUM(V26:V28)</f>
        <v>#REF!</v>
      </c>
      <c r="W25" s="362">
        <f t="shared" si="19"/>
        <v>1526000</v>
      </c>
      <c r="X25" s="362" t="e">
        <f t="shared" si="19"/>
        <v>#REF!</v>
      </c>
      <c r="Y25" s="325">
        <f>SUM(Y26:Y28)</f>
        <v>13992000</v>
      </c>
      <c r="Z25" s="326" t="e">
        <f>SUM(Z26:Z28)</f>
        <v>#REF!</v>
      </c>
      <c r="AA25" s="327">
        <f t="shared" ref="AA25:AI25" si="20">SUM(AA26:AA28)</f>
        <v>11370000</v>
      </c>
      <c r="AB25" s="327">
        <f t="shared" si="20"/>
        <v>2720000</v>
      </c>
      <c r="AC25" s="325">
        <f t="shared" si="20"/>
        <v>34020000</v>
      </c>
      <c r="AD25" s="200">
        <f t="shared" si="20"/>
        <v>25970000</v>
      </c>
      <c r="AE25" s="200">
        <f t="shared" si="20"/>
        <v>18850000</v>
      </c>
      <c r="AF25" s="200">
        <f t="shared" si="20"/>
        <v>33513000</v>
      </c>
      <c r="AG25" s="200">
        <f t="shared" si="20"/>
        <v>38213000</v>
      </c>
      <c r="AH25" s="200">
        <f t="shared" ref="AH25" si="21">SUM(AH26:AH28)</f>
        <v>41083000</v>
      </c>
      <c r="AI25" s="200">
        <f t="shared" si="20"/>
        <v>6490000</v>
      </c>
      <c r="AJ25" s="552">
        <f t="shared" si="11"/>
        <v>-34593000</v>
      </c>
    </row>
    <row r="26" spans="1:40" s="231" customFormat="1" ht="25.5" customHeight="1">
      <c r="A26" s="591" t="s">
        <v>56</v>
      </c>
      <c r="B26" s="42" t="s">
        <v>29</v>
      </c>
      <c r="C26" s="43" t="s">
        <v>11</v>
      </c>
      <c r="D26" s="161" t="e">
        <f t="shared" ref="D26:Q26" si="22">SUM(D27:D28)</f>
        <v>#REF!</v>
      </c>
      <c r="E26" s="162">
        <f t="shared" si="22"/>
        <v>57600000</v>
      </c>
      <c r="F26" s="161">
        <f t="shared" si="22"/>
        <v>57600000</v>
      </c>
      <c r="G26" s="172">
        <f t="shared" si="22"/>
        <v>59980000</v>
      </c>
      <c r="H26" s="363">
        <f t="shared" si="22"/>
        <v>73000000</v>
      </c>
      <c r="I26" s="175">
        <f t="shared" si="22"/>
        <v>66400000</v>
      </c>
      <c r="J26" s="175">
        <f t="shared" si="22"/>
        <v>67200000</v>
      </c>
      <c r="K26" s="175">
        <f t="shared" si="22"/>
        <v>67200000</v>
      </c>
      <c r="L26" s="175">
        <f t="shared" si="22"/>
        <v>75875000</v>
      </c>
      <c r="M26" s="175">
        <f t="shared" si="22"/>
        <v>77875000</v>
      </c>
      <c r="N26" s="175">
        <f t="shared" si="22"/>
        <v>77875000</v>
      </c>
      <c r="O26" s="175">
        <f t="shared" si="22"/>
        <v>80475000</v>
      </c>
      <c r="P26" s="175">
        <f t="shared" ref="P26" si="23">SUM(P27:P28)</f>
        <v>72875000</v>
      </c>
      <c r="Q26" s="175">
        <f t="shared" si="22"/>
        <v>80775000</v>
      </c>
      <c r="R26" s="241">
        <f t="shared" si="7"/>
        <v>300000</v>
      </c>
      <c r="S26" s="167">
        <f>AI24/AI5*100</f>
        <v>0.20300014826204973</v>
      </c>
      <c r="T26" s="32">
        <f>AI25/AI5*100</f>
        <v>0.20300014826204973</v>
      </c>
      <c r="U26" s="33" t="s">
        <v>17</v>
      </c>
      <c r="V26" s="328" t="e">
        <f>#REF!</f>
        <v>#REF!</v>
      </c>
      <c r="W26" s="332">
        <f>세출명세서!E109</f>
        <v>0</v>
      </c>
      <c r="X26" s="332" t="e">
        <f>세출명세서!F109</f>
        <v>#REF!</v>
      </c>
      <c r="Y26" s="328">
        <v>1100000</v>
      </c>
      <c r="Z26" s="329">
        <v>4000000</v>
      </c>
      <c r="AA26" s="330">
        <f>세출명세서!I109</f>
        <v>2000000</v>
      </c>
      <c r="AB26" s="330">
        <f>세출명세서!J109</f>
        <v>0</v>
      </c>
      <c r="AC26" s="328">
        <v>15800000</v>
      </c>
      <c r="AD26" s="201">
        <f>세출명세서!L109</f>
        <v>800000</v>
      </c>
      <c r="AE26" s="201">
        <f>세출명세서!M109</f>
        <v>6300000</v>
      </c>
      <c r="AF26" s="201">
        <v>5400000</v>
      </c>
      <c r="AG26" s="201">
        <f>세출명세서!O109</f>
        <v>10700000</v>
      </c>
      <c r="AH26" s="201">
        <f>세출명세서!P109</f>
        <v>10270000</v>
      </c>
      <c r="AI26" s="201">
        <f>세출명세서!Q109</f>
        <v>0</v>
      </c>
      <c r="AJ26" s="190">
        <f t="shared" si="11"/>
        <v>-10270000</v>
      </c>
    </row>
    <row r="27" spans="1:40" s="231" customFormat="1" ht="25.5" customHeight="1">
      <c r="A27" s="592"/>
      <c r="B27" s="242">
        <f>Q26/Q5*100</f>
        <v>2.526554233569656</v>
      </c>
      <c r="C27" s="243" t="s">
        <v>40</v>
      </c>
      <c r="D27" s="244" t="e">
        <f>#REF!</f>
        <v>#REF!</v>
      </c>
      <c r="E27" s="245">
        <f>세입명세서!E31</f>
        <v>57600000</v>
      </c>
      <c r="F27" s="244">
        <f>세입명세서!F31</f>
        <v>57600000</v>
      </c>
      <c r="G27" s="246">
        <v>59980000</v>
      </c>
      <c r="H27" s="364">
        <v>73000000</v>
      </c>
      <c r="I27" s="247">
        <f>세입명세서!I31</f>
        <v>66400000</v>
      </c>
      <c r="J27" s="247">
        <f>세입명세서!J31</f>
        <v>67200000</v>
      </c>
      <c r="K27" s="247">
        <v>67200000</v>
      </c>
      <c r="L27" s="247">
        <f>세입명세서!L31</f>
        <v>65100000</v>
      </c>
      <c r="M27" s="247">
        <f>세입명세서!M31</f>
        <v>71700000</v>
      </c>
      <c r="N27" s="247">
        <v>71700000</v>
      </c>
      <c r="O27" s="247">
        <f>세입명세서!O31</f>
        <v>46000000</v>
      </c>
      <c r="P27" s="247">
        <f>세입명세서!P31</f>
        <v>38400000</v>
      </c>
      <c r="Q27" s="247">
        <f>세입명세서!Q31</f>
        <v>72000000</v>
      </c>
      <c r="R27" s="238">
        <f t="shared" si="7"/>
        <v>26000000</v>
      </c>
      <c r="S27" s="301"/>
      <c r="T27" s="34"/>
      <c r="U27" s="33" t="s">
        <v>18</v>
      </c>
      <c r="V27" s="328" t="e">
        <f>#REF!</f>
        <v>#REF!</v>
      </c>
      <c r="W27" s="332">
        <f>세출명세서!E110</f>
        <v>0</v>
      </c>
      <c r="X27" s="332" t="e">
        <f>세출명세서!F110</f>
        <v>#REF!</v>
      </c>
      <c r="Y27" s="328">
        <v>495000</v>
      </c>
      <c r="Z27" s="329" t="e">
        <f>세출명세서!H110</f>
        <v>#REF!</v>
      </c>
      <c r="AA27" s="330">
        <f>세출명세서!I110</f>
        <v>3600000</v>
      </c>
      <c r="AB27" s="330">
        <f>세출명세서!J110</f>
        <v>300000</v>
      </c>
      <c r="AC27" s="328">
        <v>7600000</v>
      </c>
      <c r="AD27" s="201">
        <f>세출명세서!L110</f>
        <v>16050000</v>
      </c>
      <c r="AE27" s="201">
        <f>세출명세서!M110</f>
        <v>4700000</v>
      </c>
      <c r="AF27" s="201">
        <v>11263000</v>
      </c>
      <c r="AG27" s="201">
        <f>세출명세서!O110</f>
        <v>15463000</v>
      </c>
      <c r="AH27" s="201">
        <f>세출명세서!P110</f>
        <v>19463000</v>
      </c>
      <c r="AI27" s="201">
        <f>세출명세서!Q110</f>
        <v>700000</v>
      </c>
      <c r="AJ27" s="190">
        <f t="shared" si="11"/>
        <v>-18763000</v>
      </c>
    </row>
    <row r="28" spans="1:40" s="231" customFormat="1" ht="25.5" customHeight="1">
      <c r="A28" s="306"/>
      <c r="B28" s="242"/>
      <c r="C28" s="243" t="s">
        <v>45</v>
      </c>
      <c r="D28" s="244"/>
      <c r="E28" s="245"/>
      <c r="F28" s="244"/>
      <c r="G28" s="246"/>
      <c r="H28" s="364"/>
      <c r="I28" s="247"/>
      <c r="J28" s="247"/>
      <c r="K28" s="247"/>
      <c r="L28" s="247">
        <f>세입명세서!L35+세입명세서!L36</f>
        <v>10775000</v>
      </c>
      <c r="M28" s="247">
        <f>세입명세서!M35+세입명세서!M36</f>
        <v>6175000</v>
      </c>
      <c r="N28" s="247">
        <v>6175000</v>
      </c>
      <c r="O28" s="247">
        <f>세입명세서!O35+세입명세서!O36</f>
        <v>34475000</v>
      </c>
      <c r="P28" s="247">
        <f>세입명세서!P35+세입명세서!P36</f>
        <v>34475000</v>
      </c>
      <c r="Q28" s="247">
        <f>세입명세서!Q35+세입명세서!Q36</f>
        <v>8775000</v>
      </c>
      <c r="R28" s="238">
        <f t="shared" si="7"/>
        <v>-25700000</v>
      </c>
      <c r="S28" s="283"/>
      <c r="T28" s="34"/>
      <c r="U28" s="365" t="s">
        <v>35</v>
      </c>
      <c r="V28" s="353" t="e">
        <f>#REF!</f>
        <v>#REF!</v>
      </c>
      <c r="W28" s="354">
        <f>세출명세서!E111</f>
        <v>1526000</v>
      </c>
      <c r="X28" s="354">
        <f>세출명세서!F111</f>
        <v>2076000</v>
      </c>
      <c r="Y28" s="353">
        <v>12397000</v>
      </c>
      <c r="Z28" s="355">
        <f>세출명세서!H111</f>
        <v>3126000</v>
      </c>
      <c r="AA28" s="356">
        <f>세출명세서!I111</f>
        <v>5770000</v>
      </c>
      <c r="AB28" s="356">
        <f>세출명세서!J111</f>
        <v>2420000</v>
      </c>
      <c r="AC28" s="353">
        <v>10620000</v>
      </c>
      <c r="AD28" s="207">
        <f>세출명세서!L111</f>
        <v>9120000</v>
      </c>
      <c r="AE28" s="207">
        <f>세출명세서!M111</f>
        <v>7850000</v>
      </c>
      <c r="AF28" s="207">
        <v>16850000</v>
      </c>
      <c r="AG28" s="207">
        <f>세출명세서!O111</f>
        <v>12050000</v>
      </c>
      <c r="AH28" s="207">
        <f>세출명세서!P111</f>
        <v>11350000</v>
      </c>
      <c r="AI28" s="207">
        <f>세출명세서!Q111</f>
        <v>5790000</v>
      </c>
      <c r="AJ28" s="190">
        <f t="shared" si="11"/>
        <v>-5560000</v>
      </c>
      <c r="AM28" s="291"/>
    </row>
    <row r="29" spans="1:40" s="231" customFormat="1" ht="22.5" customHeight="1">
      <c r="A29" s="248" t="s">
        <v>44</v>
      </c>
      <c r="B29" s="40" t="s">
        <v>44</v>
      </c>
      <c r="C29" s="45" t="s">
        <v>11</v>
      </c>
      <c r="D29" s="249" t="e">
        <f t="shared" ref="D29:Q29" si="24">SUM(D30)</f>
        <v>#REF!</v>
      </c>
      <c r="E29" s="250">
        <f t="shared" si="24"/>
        <v>51000000</v>
      </c>
      <c r="F29" s="249">
        <f t="shared" si="24"/>
        <v>51000000</v>
      </c>
      <c r="G29" s="251">
        <f t="shared" si="24"/>
        <v>49613000</v>
      </c>
      <c r="H29" s="366">
        <f t="shared" si="24"/>
        <v>51000000</v>
      </c>
      <c r="I29" s="252">
        <f t="shared" si="24"/>
        <v>25000000</v>
      </c>
      <c r="J29" s="252">
        <f t="shared" si="24"/>
        <v>25000000</v>
      </c>
      <c r="K29" s="252">
        <f t="shared" si="24"/>
        <v>25000000</v>
      </c>
      <c r="L29" s="252">
        <f t="shared" si="24"/>
        <v>25000000</v>
      </c>
      <c r="M29" s="252">
        <f t="shared" si="24"/>
        <v>25000000</v>
      </c>
      <c r="N29" s="252">
        <f t="shared" si="24"/>
        <v>25000000</v>
      </c>
      <c r="O29" s="252">
        <f t="shared" si="24"/>
        <v>25000000</v>
      </c>
      <c r="P29" s="252">
        <f t="shared" si="24"/>
        <v>25000000</v>
      </c>
      <c r="Q29" s="252">
        <f t="shared" si="24"/>
        <v>25000000</v>
      </c>
      <c r="R29" s="241">
        <f t="shared" si="7"/>
        <v>0</v>
      </c>
      <c r="S29" s="300" t="s">
        <v>6</v>
      </c>
      <c r="T29" s="46"/>
      <c r="U29" s="47" t="s">
        <v>7</v>
      </c>
      <c r="V29" s="358" t="e">
        <f t="shared" ref="V29:AF29" si="25">V30</f>
        <v>#REF!</v>
      </c>
      <c r="W29" s="359">
        <f t="shared" si="25"/>
        <v>97896000</v>
      </c>
      <c r="X29" s="359">
        <f t="shared" si="25"/>
        <v>89422000</v>
      </c>
      <c r="Y29" s="358">
        <f>Y30</f>
        <v>98495000</v>
      </c>
      <c r="Z29" s="360">
        <f>Z30</f>
        <v>89377000</v>
      </c>
      <c r="AA29" s="361">
        <f t="shared" si="25"/>
        <v>1012073000</v>
      </c>
      <c r="AB29" s="361">
        <f t="shared" si="25"/>
        <v>1412465000</v>
      </c>
      <c r="AC29" s="358">
        <f t="shared" si="25"/>
        <v>133939000</v>
      </c>
      <c r="AD29" s="189">
        <f t="shared" si="25"/>
        <v>1918028400</v>
      </c>
      <c r="AE29" s="189">
        <f t="shared" si="25"/>
        <v>2529796000</v>
      </c>
      <c r="AF29" s="189">
        <f t="shared" si="25"/>
        <v>2549377000</v>
      </c>
      <c r="AG29" s="189">
        <f>AG30</f>
        <v>2544053000</v>
      </c>
      <c r="AH29" s="189">
        <f>AH30</f>
        <v>2558612000</v>
      </c>
      <c r="AI29" s="189">
        <f>AI30</f>
        <v>2604528000</v>
      </c>
      <c r="AJ29" s="552">
        <f t="shared" si="11"/>
        <v>45916000</v>
      </c>
    </row>
    <row r="30" spans="1:40" s="231" customFormat="1" ht="22.5" customHeight="1">
      <c r="A30" s="253"/>
      <c r="B30" s="254">
        <f>Q29/Q5*100</f>
        <v>0.78197283614040736</v>
      </c>
      <c r="C30" s="233" t="s">
        <v>26</v>
      </c>
      <c r="D30" s="234" t="e">
        <f>#REF!</f>
        <v>#REF!</v>
      </c>
      <c r="E30" s="235">
        <f>세입명세서!E37</f>
        <v>51000000</v>
      </c>
      <c r="F30" s="234">
        <f>세입명세서!F37</f>
        <v>51000000</v>
      </c>
      <c r="G30" s="236">
        <v>49613000</v>
      </c>
      <c r="H30" s="324">
        <f>세입명세서!H37</f>
        <v>51000000</v>
      </c>
      <c r="I30" s="237">
        <f>세입명세서!I37</f>
        <v>25000000</v>
      </c>
      <c r="J30" s="237">
        <f>세입명세서!J37</f>
        <v>25000000</v>
      </c>
      <c r="K30" s="237">
        <f>세입명세서!J37</f>
        <v>25000000</v>
      </c>
      <c r="L30" s="237">
        <f>세입명세서!L37</f>
        <v>25000000</v>
      </c>
      <c r="M30" s="237">
        <f>세입명세서!M37</f>
        <v>25000000</v>
      </c>
      <c r="N30" s="237">
        <v>25000000</v>
      </c>
      <c r="O30" s="237">
        <f>세입명세서!O37</f>
        <v>25000000</v>
      </c>
      <c r="P30" s="237">
        <f>세입명세서!P37</f>
        <v>25000000</v>
      </c>
      <c r="Q30" s="237">
        <f>세입명세서!Q37</f>
        <v>25000000</v>
      </c>
      <c r="R30" s="238">
        <f t="shared" si="7"/>
        <v>0</v>
      </c>
      <c r="S30" s="285">
        <f>AI29/AI5*100</f>
        <v>81.466805878684113</v>
      </c>
      <c r="T30" s="48" t="s">
        <v>6</v>
      </c>
      <c r="U30" s="31" t="s">
        <v>11</v>
      </c>
      <c r="V30" s="325" t="e">
        <f>SUM(V31:V56)</f>
        <v>#REF!</v>
      </c>
      <c r="W30" s="362">
        <f>SUM(W31:W56)</f>
        <v>97896000</v>
      </c>
      <c r="X30" s="362">
        <f>SUM(X31:X56)</f>
        <v>89422000</v>
      </c>
      <c r="Y30" s="325">
        <f>SUM(Y31:Y56)</f>
        <v>98495000</v>
      </c>
      <c r="Z30" s="326">
        <f>SUM(Z31:Z56)</f>
        <v>89377000</v>
      </c>
      <c r="AA30" s="327">
        <f>세출명세서!I119</f>
        <v>1012073000</v>
      </c>
      <c r="AB30" s="327">
        <f>세출명세서!J119</f>
        <v>1412465000</v>
      </c>
      <c r="AC30" s="325">
        <f>SUM(AC31:AC56)</f>
        <v>133939000</v>
      </c>
      <c r="AD30" s="200">
        <f>SUM(AD31:AD56)</f>
        <v>1918028400</v>
      </c>
      <c r="AE30" s="200">
        <f>SUM(AE31:AE56)</f>
        <v>2529796000</v>
      </c>
      <c r="AF30" s="200">
        <f>SUM(AF31:AF56)</f>
        <v>2549377000</v>
      </c>
      <c r="AG30" s="200">
        <f>SUM(AG31:AG58)</f>
        <v>2544053000</v>
      </c>
      <c r="AH30" s="200">
        <f>SUM(AH31:AH58)</f>
        <v>2558612000</v>
      </c>
      <c r="AI30" s="200">
        <f>SUM(AI31:AI58)</f>
        <v>2604528000</v>
      </c>
      <c r="AJ30" s="552">
        <f t="shared" si="11"/>
        <v>45916000</v>
      </c>
    </row>
    <row r="31" spans="1:40" s="231" customFormat="1" ht="22.5" customHeight="1">
      <c r="A31" s="255" t="s">
        <v>27</v>
      </c>
      <c r="B31" s="25" t="s">
        <v>27</v>
      </c>
      <c r="C31" s="26" t="s">
        <v>11</v>
      </c>
      <c r="D31" s="226" t="e">
        <f t="shared" ref="D31:J31" si="26">SUM(D32:D33)</f>
        <v>#REF!</v>
      </c>
      <c r="E31" s="227">
        <f t="shared" si="26"/>
        <v>80776000</v>
      </c>
      <c r="F31" s="226">
        <f t="shared" si="26"/>
        <v>47080000</v>
      </c>
      <c r="G31" s="228">
        <f t="shared" si="26"/>
        <v>83255000</v>
      </c>
      <c r="H31" s="320">
        <f t="shared" si="26"/>
        <v>46144000</v>
      </c>
      <c r="I31" s="229">
        <f t="shared" si="26"/>
        <v>47558000</v>
      </c>
      <c r="J31" s="229">
        <f t="shared" si="26"/>
        <v>47558000</v>
      </c>
      <c r="K31" s="229">
        <f>SUM(K32:K33)</f>
        <v>47558000</v>
      </c>
      <c r="L31" s="229">
        <f t="shared" ref="L31:Q31" si="27">SUM(L32:L35)</f>
        <v>91958000</v>
      </c>
      <c r="M31" s="229">
        <f t="shared" si="27"/>
        <v>92450000</v>
      </c>
      <c r="N31" s="229">
        <f t="shared" si="27"/>
        <v>85662000</v>
      </c>
      <c r="O31" s="229">
        <f t="shared" si="27"/>
        <v>73909000</v>
      </c>
      <c r="P31" s="229">
        <f t="shared" si="27"/>
        <v>63471000</v>
      </c>
      <c r="Q31" s="229">
        <f t="shared" si="27"/>
        <v>99157000</v>
      </c>
      <c r="R31" s="241">
        <f t="shared" si="7"/>
        <v>25248000</v>
      </c>
      <c r="S31" s="29"/>
      <c r="T31" s="32">
        <f>AI30/AI5*100</f>
        <v>81.466805878684113</v>
      </c>
      <c r="U31" s="51" t="s">
        <v>47</v>
      </c>
      <c r="V31" s="328" t="e">
        <f>#REF!</f>
        <v>#REF!</v>
      </c>
      <c r="W31" s="332">
        <f>세출명세서!E120</f>
        <v>27040000</v>
      </c>
      <c r="X31" s="332">
        <f>세출명세서!F120</f>
        <v>27340000</v>
      </c>
      <c r="Y31" s="328">
        <v>26694000</v>
      </c>
      <c r="Z31" s="329">
        <v>24604000</v>
      </c>
      <c r="AA31" s="330">
        <f>세출명세서!I120</f>
        <v>27672000</v>
      </c>
      <c r="AB31" s="330">
        <f>세출명세서!J120</f>
        <v>28756000</v>
      </c>
      <c r="AC31" s="328">
        <v>40516000</v>
      </c>
      <c r="AD31" s="201">
        <f>세출명세서!L120</f>
        <v>45056000</v>
      </c>
      <c r="AE31" s="201">
        <f>세출명세서!M120</f>
        <v>56688000</v>
      </c>
      <c r="AF31" s="201">
        <v>56688000</v>
      </c>
      <c r="AG31" s="201">
        <f>세출명세서!O120</f>
        <v>29788000</v>
      </c>
      <c r="AH31" s="201">
        <f>세출명세서!P120</f>
        <v>23230000</v>
      </c>
      <c r="AI31" s="201">
        <f>세출명세서!Q120</f>
        <v>63360000</v>
      </c>
      <c r="AJ31" s="190">
        <f t="shared" si="11"/>
        <v>40130000</v>
      </c>
    </row>
    <row r="32" spans="1:40" s="231" customFormat="1" ht="22.5" customHeight="1">
      <c r="A32" s="255"/>
      <c r="B32" s="232">
        <f>Q31/Q5*100</f>
        <v>3.1015232205269747</v>
      </c>
      <c r="C32" s="256" t="s">
        <v>1</v>
      </c>
      <c r="D32" s="257" t="e">
        <f>#REF!</f>
        <v>#REF!</v>
      </c>
      <c r="E32" s="258">
        <f>세입명세서!E42</f>
        <v>70112000</v>
      </c>
      <c r="F32" s="257">
        <f>세입명세서!F42</f>
        <v>36416000</v>
      </c>
      <c r="G32" s="259">
        <v>72591000</v>
      </c>
      <c r="H32" s="367">
        <v>35480000</v>
      </c>
      <c r="I32" s="260">
        <f>세입명세서!I42</f>
        <v>36550000</v>
      </c>
      <c r="J32" s="260">
        <f>세입명세서!J42</f>
        <v>36550000</v>
      </c>
      <c r="K32" s="260">
        <f>세입명세서!J42</f>
        <v>36550000</v>
      </c>
      <c r="L32" s="260">
        <f>세입명세서!L42</f>
        <v>36550000</v>
      </c>
      <c r="M32" s="260">
        <f>세입명세서!M42</f>
        <v>42042000</v>
      </c>
      <c r="N32" s="260">
        <v>38350000</v>
      </c>
      <c r="O32" s="260">
        <f>세입명세서!O42</f>
        <v>27684000</v>
      </c>
      <c r="P32" s="260">
        <f>세입명세서!P42</f>
        <v>22288000</v>
      </c>
      <c r="Q32" s="260">
        <f>세입명세서!Q42</f>
        <v>51325000</v>
      </c>
      <c r="R32" s="238">
        <f t="shared" si="7"/>
        <v>23641000</v>
      </c>
      <c r="S32" s="301"/>
      <c r="T32" s="34"/>
      <c r="U32" s="52" t="s">
        <v>428</v>
      </c>
      <c r="V32" s="368"/>
      <c r="W32" s="369"/>
      <c r="X32" s="369"/>
      <c r="Y32" s="368"/>
      <c r="Z32" s="370"/>
      <c r="AA32" s="371"/>
      <c r="AB32" s="371"/>
      <c r="AC32" s="368"/>
      <c r="AD32" s="208">
        <f>세출명세서!L154</f>
        <v>1300711000</v>
      </c>
      <c r="AE32" s="208">
        <f>세출명세서!M154</f>
        <v>2051000000</v>
      </c>
      <c r="AF32" s="208">
        <v>2057374000</v>
      </c>
      <c r="AG32" s="208">
        <f>세출명세서!O154</f>
        <v>2057374000</v>
      </c>
      <c r="AH32" s="208">
        <f>세출명세서!P154</f>
        <v>2057374000</v>
      </c>
      <c r="AI32" s="208">
        <f>세출명세서!Q154</f>
        <v>2052300000</v>
      </c>
      <c r="AJ32" s="190">
        <f t="shared" si="11"/>
        <v>-5074000</v>
      </c>
      <c r="AN32" s="296"/>
    </row>
    <row r="33" spans="1:40" s="231" customFormat="1" ht="22.5" customHeight="1">
      <c r="A33" s="255"/>
      <c r="B33" s="239"/>
      <c r="C33" s="256" t="s">
        <v>2</v>
      </c>
      <c r="D33" s="257" t="e">
        <f>#REF!</f>
        <v>#REF!</v>
      </c>
      <c r="E33" s="258">
        <f>세입명세서!E45</f>
        <v>10664000</v>
      </c>
      <c r="F33" s="257">
        <f>세입명세서!F45</f>
        <v>10664000</v>
      </c>
      <c r="G33" s="259">
        <f>세입명세서!F45</f>
        <v>10664000</v>
      </c>
      <c r="H33" s="367">
        <f>세입명세서!H45</f>
        <v>10664000</v>
      </c>
      <c r="I33" s="260">
        <f>세입명세서!I45</f>
        <v>11008000</v>
      </c>
      <c r="J33" s="260">
        <f>세입명세서!J45</f>
        <v>11008000</v>
      </c>
      <c r="K33" s="260">
        <f>세입명세서!J45</f>
        <v>11008000</v>
      </c>
      <c r="L33" s="260">
        <f>세입명세서!L45</f>
        <v>11008000</v>
      </c>
      <c r="M33" s="260">
        <f>세입명세서!M45</f>
        <v>11008000</v>
      </c>
      <c r="N33" s="260">
        <v>7912000</v>
      </c>
      <c r="O33" s="260">
        <f>세입명세서!O45</f>
        <v>6825000</v>
      </c>
      <c r="P33" s="260">
        <f>세입명세서!P45</f>
        <v>1783000</v>
      </c>
      <c r="Q33" s="260">
        <f>세입명세서!Q45</f>
        <v>8432000</v>
      </c>
      <c r="R33" s="238">
        <f t="shared" si="7"/>
        <v>1607000</v>
      </c>
      <c r="S33" s="301"/>
      <c r="T33" s="34"/>
      <c r="U33" s="52" t="s">
        <v>267</v>
      </c>
      <c r="V33" s="368"/>
      <c r="W33" s="369"/>
      <c r="X33" s="369"/>
      <c r="Y33" s="368"/>
      <c r="Z33" s="370">
        <v>0</v>
      </c>
      <c r="AA33" s="371">
        <f>세출명세서!I159</f>
        <v>2000000</v>
      </c>
      <c r="AB33" s="371">
        <f>세출명세서!J159</f>
        <v>500000</v>
      </c>
      <c r="AC33" s="368">
        <v>6000000</v>
      </c>
      <c r="AD33" s="208">
        <f>세출명세서!L159</f>
        <v>6000000</v>
      </c>
      <c r="AE33" s="208">
        <f>세출명세서!M159</f>
        <v>8300000</v>
      </c>
      <c r="AF33" s="208">
        <v>9500000</v>
      </c>
      <c r="AG33" s="208">
        <f>세출명세서!O159</f>
        <v>4000000</v>
      </c>
      <c r="AH33" s="208">
        <f>세출명세서!P159</f>
        <v>13100000</v>
      </c>
      <c r="AI33" s="208">
        <f>세출명세서!Q159</f>
        <v>1000000</v>
      </c>
      <c r="AJ33" s="190">
        <f t="shared" si="11"/>
        <v>-12100000</v>
      </c>
      <c r="AN33" s="296"/>
    </row>
    <row r="34" spans="1:40" s="231" customFormat="1" ht="22.5" customHeight="1">
      <c r="A34" s="255"/>
      <c r="B34" s="239"/>
      <c r="C34" s="256" t="s">
        <v>429</v>
      </c>
      <c r="D34" s="257"/>
      <c r="E34" s="258"/>
      <c r="F34" s="257"/>
      <c r="G34" s="259"/>
      <c r="H34" s="367"/>
      <c r="I34" s="260"/>
      <c r="J34" s="260"/>
      <c r="K34" s="260"/>
      <c r="L34" s="260">
        <f>세입명세서!L47</f>
        <v>20000000</v>
      </c>
      <c r="M34" s="260">
        <f>세입명세서!M47</f>
        <v>15000000</v>
      </c>
      <c r="N34" s="260">
        <v>15000000</v>
      </c>
      <c r="O34" s="260">
        <f>세입명세서!O47</f>
        <v>15000000</v>
      </c>
      <c r="P34" s="260">
        <f>세입명세서!P47</f>
        <v>15000000</v>
      </c>
      <c r="Q34" s="260">
        <f>세입명세서!Q47</f>
        <v>15000000</v>
      </c>
      <c r="R34" s="238">
        <f t="shared" si="7"/>
        <v>0</v>
      </c>
      <c r="S34" s="29"/>
      <c r="T34" s="34"/>
      <c r="U34" s="54" t="s">
        <v>48</v>
      </c>
      <c r="V34" s="341" t="e">
        <f>#REF!</f>
        <v>#REF!</v>
      </c>
      <c r="W34" s="342">
        <f>세출명세서!E161</f>
        <v>46296000</v>
      </c>
      <c r="X34" s="342">
        <f>세출명세서!F161</f>
        <v>35922000</v>
      </c>
      <c r="Y34" s="341">
        <v>48601000</v>
      </c>
      <c r="Z34" s="343">
        <v>33613000</v>
      </c>
      <c r="AA34" s="344">
        <f>세출명세서!I161</f>
        <v>39609000</v>
      </c>
      <c r="AB34" s="344">
        <f>세출명세서!J161</f>
        <v>36869000</v>
      </c>
      <c r="AC34" s="341">
        <v>42243000</v>
      </c>
      <c r="AD34" s="204">
        <f>세출명세서!L161</f>
        <v>91563000</v>
      </c>
      <c r="AE34" s="204">
        <f>세출명세서!M161</f>
        <v>91876000</v>
      </c>
      <c r="AF34" s="204">
        <v>97556000</v>
      </c>
      <c r="AG34" s="204">
        <f>세출명세서!O161</f>
        <v>88332000</v>
      </c>
      <c r="AH34" s="204">
        <f>세출명세서!P161</f>
        <v>88175000</v>
      </c>
      <c r="AI34" s="204">
        <f>세출명세서!Q161</f>
        <v>97686000</v>
      </c>
      <c r="AJ34" s="190">
        <f t="shared" si="11"/>
        <v>9511000</v>
      </c>
    </row>
    <row r="35" spans="1:40" s="231" customFormat="1" ht="22.5" customHeight="1">
      <c r="A35" s="255"/>
      <c r="B35" s="239"/>
      <c r="C35" s="256" t="s">
        <v>430</v>
      </c>
      <c r="D35" s="257"/>
      <c r="E35" s="258"/>
      <c r="F35" s="257"/>
      <c r="G35" s="259"/>
      <c r="H35" s="367"/>
      <c r="I35" s="260"/>
      <c r="J35" s="260"/>
      <c r="K35" s="260"/>
      <c r="L35" s="260">
        <f>세입명세서!L48</f>
        <v>24400000</v>
      </c>
      <c r="M35" s="260">
        <f>세입명세서!M48</f>
        <v>24400000</v>
      </c>
      <c r="N35" s="260">
        <v>24400000</v>
      </c>
      <c r="O35" s="260">
        <f>세입명세서!O48</f>
        <v>24400000</v>
      </c>
      <c r="P35" s="260">
        <f>세입명세서!P48</f>
        <v>24400000</v>
      </c>
      <c r="Q35" s="260">
        <f>세입명세서!Q48</f>
        <v>24400000</v>
      </c>
      <c r="R35" s="238">
        <f t="shared" si="7"/>
        <v>0</v>
      </c>
      <c r="S35" s="301"/>
      <c r="T35" s="34"/>
      <c r="U35" s="33" t="s">
        <v>51</v>
      </c>
      <c r="V35" s="328" t="e">
        <f>#REF!</f>
        <v>#REF!</v>
      </c>
      <c r="W35" s="332">
        <f>세출명세서!E173</f>
        <v>1400000</v>
      </c>
      <c r="X35" s="332">
        <f>세출명세서!F173</f>
        <v>1400000</v>
      </c>
      <c r="Y35" s="328">
        <v>1400000</v>
      </c>
      <c r="Z35" s="329">
        <f>세출명세서!H173</f>
        <v>1400000</v>
      </c>
      <c r="AA35" s="330">
        <f>세출명세서!I173</f>
        <v>1400000</v>
      </c>
      <c r="AB35" s="330">
        <f>세출명세서!J173</f>
        <v>1200000</v>
      </c>
      <c r="AC35" s="328">
        <f>세출명세서!J173</f>
        <v>1200000</v>
      </c>
      <c r="AD35" s="201">
        <f>세출명세서!L173</f>
        <v>1200000</v>
      </c>
      <c r="AE35" s="201">
        <f>세출명세서!M173</f>
        <v>1200000</v>
      </c>
      <c r="AF35" s="201">
        <v>1200000</v>
      </c>
      <c r="AG35" s="201">
        <f>세출명세서!O173</f>
        <v>1200000</v>
      </c>
      <c r="AH35" s="201">
        <f>세출명세서!P173</f>
        <v>1200000</v>
      </c>
      <c r="AI35" s="201">
        <f>세출명세서!Q173</f>
        <v>1200000</v>
      </c>
      <c r="AJ35" s="190">
        <f t="shared" si="11"/>
        <v>0</v>
      </c>
    </row>
    <row r="36" spans="1:40" s="231" customFormat="1" ht="22.5" customHeight="1">
      <c r="A36" s="261" t="s">
        <v>21</v>
      </c>
      <c r="B36" s="40" t="s">
        <v>21</v>
      </c>
      <c r="C36" s="45" t="s">
        <v>11</v>
      </c>
      <c r="D36" s="249" t="e">
        <f t="shared" ref="D36:E36" si="28">SUM(D37:D38)</f>
        <v>#REF!</v>
      </c>
      <c r="E36" s="250">
        <f t="shared" si="28"/>
        <v>8000000</v>
      </c>
      <c r="F36" s="249">
        <f t="shared" ref="F36:Q36" si="29">SUM(F37:F38)</f>
        <v>28878000</v>
      </c>
      <c r="G36" s="251">
        <f t="shared" si="29"/>
        <v>3960000</v>
      </c>
      <c r="H36" s="366">
        <f t="shared" si="29"/>
        <v>28878000</v>
      </c>
      <c r="I36" s="252">
        <f t="shared" si="29"/>
        <v>18392000</v>
      </c>
      <c r="J36" s="252">
        <f t="shared" si="29"/>
        <v>15000000</v>
      </c>
      <c r="K36" s="252">
        <f t="shared" si="29"/>
        <v>23976000</v>
      </c>
      <c r="L36" s="252">
        <f t="shared" si="29"/>
        <v>25444000</v>
      </c>
      <c r="M36" s="252">
        <f t="shared" si="29"/>
        <v>30000000</v>
      </c>
      <c r="N36" s="252">
        <f t="shared" si="29"/>
        <v>74188000</v>
      </c>
      <c r="O36" s="252">
        <f t="shared" si="29"/>
        <v>74188000</v>
      </c>
      <c r="P36" s="252">
        <f t="shared" ref="P36" si="30">SUM(P37:P38)</f>
        <v>74188000</v>
      </c>
      <c r="Q36" s="252">
        <f t="shared" si="29"/>
        <v>30000000</v>
      </c>
      <c r="R36" s="241">
        <f t="shared" si="7"/>
        <v>-44188000</v>
      </c>
      <c r="S36" s="301"/>
      <c r="T36" s="34"/>
      <c r="U36" s="51" t="s">
        <v>222</v>
      </c>
      <c r="V36" s="341"/>
      <c r="W36" s="342"/>
      <c r="X36" s="342"/>
      <c r="Y36" s="341"/>
      <c r="Z36" s="343">
        <v>0</v>
      </c>
      <c r="AA36" s="344">
        <f>세출명세서!I175</f>
        <v>500000</v>
      </c>
      <c r="AB36" s="344">
        <f>세출명세서!J175</f>
        <v>500000</v>
      </c>
      <c r="AC36" s="341">
        <f>세출명세서!J175</f>
        <v>500000</v>
      </c>
      <c r="AD36" s="204">
        <f>세출명세서!L175</f>
        <v>500000</v>
      </c>
      <c r="AE36" s="204">
        <f>세출명세서!M175</f>
        <v>500000</v>
      </c>
      <c r="AF36" s="204">
        <v>1200000</v>
      </c>
      <c r="AG36" s="204">
        <f>세출명세서!O175</f>
        <v>1200000</v>
      </c>
      <c r="AH36" s="204">
        <f>세출명세서!P175</f>
        <v>1200000</v>
      </c>
      <c r="AI36" s="204">
        <f>세출명세서!Q175</f>
        <v>7500000</v>
      </c>
      <c r="AJ36" s="190">
        <f t="shared" si="11"/>
        <v>6300000</v>
      </c>
    </row>
    <row r="37" spans="1:40" s="231" customFormat="1" ht="22.5" customHeight="1">
      <c r="A37" s="262"/>
      <c r="B37" s="232">
        <f>Q36/Q5*100</f>
        <v>0.93836740336848878</v>
      </c>
      <c r="C37" s="233" t="s">
        <v>25</v>
      </c>
      <c r="D37" s="234" t="e">
        <f>#REF!</f>
        <v>#REF!</v>
      </c>
      <c r="E37" s="235">
        <f>세입명세서!E53</f>
        <v>8000000</v>
      </c>
      <c r="F37" s="234">
        <f>세입명세서!F53</f>
        <v>10124000</v>
      </c>
      <c r="G37" s="236">
        <v>2247000</v>
      </c>
      <c r="H37" s="324">
        <f>세입명세서!H53</f>
        <v>10124000</v>
      </c>
      <c r="I37" s="237">
        <f>세입명세서!I53</f>
        <v>6107000</v>
      </c>
      <c r="J37" s="237">
        <f>세입명세서!J53</f>
        <v>5000000</v>
      </c>
      <c r="K37" s="237">
        <v>7824000</v>
      </c>
      <c r="L37" s="237">
        <f>세입명세서!L53</f>
        <v>9292000</v>
      </c>
      <c r="M37" s="237">
        <f>세입명세서!M53</f>
        <v>10000000</v>
      </c>
      <c r="N37" s="237">
        <v>47887000</v>
      </c>
      <c r="O37" s="237">
        <f>세입명세서!O53</f>
        <v>47887000</v>
      </c>
      <c r="P37" s="237">
        <f>세입명세서!P53</f>
        <v>47887000</v>
      </c>
      <c r="Q37" s="237">
        <f>세입명세서!Q53</f>
        <v>20000000</v>
      </c>
      <c r="R37" s="238">
        <f t="shared" si="7"/>
        <v>-27887000</v>
      </c>
      <c r="S37" s="29"/>
      <c r="T37" s="38"/>
      <c r="U37" s="51" t="s">
        <v>52</v>
      </c>
      <c r="V37" s="341" t="e">
        <f>#REF!</f>
        <v>#REF!</v>
      </c>
      <c r="W37" s="342">
        <f>세출명세서!E179</f>
        <v>160000</v>
      </c>
      <c r="X37" s="342">
        <f>세출명세서!F179</f>
        <v>160000</v>
      </c>
      <c r="Y37" s="341">
        <v>80000</v>
      </c>
      <c r="Z37" s="343">
        <f>세출명세서!H179</f>
        <v>160000</v>
      </c>
      <c r="AA37" s="344">
        <f>세출명세서!I179</f>
        <v>180000</v>
      </c>
      <c r="AB37" s="344">
        <f>세출명세서!J179</f>
        <v>300000</v>
      </c>
      <c r="AC37" s="341">
        <v>600000</v>
      </c>
      <c r="AD37" s="204">
        <f>세출명세서!L179</f>
        <v>600000</v>
      </c>
      <c r="AE37" s="204">
        <f>세출명세서!M179</f>
        <v>600000</v>
      </c>
      <c r="AF37" s="204">
        <v>600000</v>
      </c>
      <c r="AG37" s="204">
        <f>세출명세서!O179</f>
        <v>600000</v>
      </c>
      <c r="AH37" s="204">
        <f>세출명세서!P179</f>
        <v>600000</v>
      </c>
      <c r="AI37" s="204">
        <f>세출명세서!Q179</f>
        <v>900000</v>
      </c>
      <c r="AJ37" s="190">
        <f t="shared" si="11"/>
        <v>300000</v>
      </c>
    </row>
    <row r="38" spans="1:40" s="231" customFormat="1" ht="22.5" customHeight="1">
      <c r="A38" s="263"/>
      <c r="B38" s="264"/>
      <c r="C38" s="233" t="s">
        <v>131</v>
      </c>
      <c r="D38" s="234" t="e">
        <f>#REF!</f>
        <v>#REF!</v>
      </c>
      <c r="E38" s="235">
        <f>세입명세서!E54</f>
        <v>0</v>
      </c>
      <c r="F38" s="234">
        <f>세입명세서!F54</f>
        <v>18754000</v>
      </c>
      <c r="G38" s="236">
        <v>1713000</v>
      </c>
      <c r="H38" s="324">
        <f>세입명세서!H54</f>
        <v>18754000</v>
      </c>
      <c r="I38" s="237">
        <f>세입명세서!I54</f>
        <v>12285000</v>
      </c>
      <c r="J38" s="237">
        <f>세입명세서!J54</f>
        <v>10000000</v>
      </c>
      <c r="K38" s="237">
        <v>16152000</v>
      </c>
      <c r="L38" s="237">
        <f>세입명세서!L54</f>
        <v>16152000</v>
      </c>
      <c r="M38" s="237">
        <f>세입명세서!M54</f>
        <v>20000000</v>
      </c>
      <c r="N38" s="237">
        <v>26301000</v>
      </c>
      <c r="O38" s="237">
        <f>세입명세서!O54</f>
        <v>26301000</v>
      </c>
      <c r="P38" s="237">
        <f>세입명세서!P54</f>
        <v>26301000</v>
      </c>
      <c r="Q38" s="237">
        <f>세입명세서!Q54</f>
        <v>10000000</v>
      </c>
      <c r="R38" s="238">
        <f t="shared" si="7"/>
        <v>-16301000</v>
      </c>
      <c r="S38" s="53"/>
      <c r="T38" s="34"/>
      <c r="U38" s="51" t="s">
        <v>431</v>
      </c>
      <c r="V38" s="341"/>
      <c r="W38" s="342"/>
      <c r="X38" s="342"/>
      <c r="Y38" s="341"/>
      <c r="Z38" s="343"/>
      <c r="AA38" s="344"/>
      <c r="AB38" s="344"/>
      <c r="AC38" s="341"/>
      <c r="AD38" s="204">
        <f>세출명세서!L183</f>
        <v>25000000</v>
      </c>
      <c r="AE38" s="204">
        <f>세출명세서!M183</f>
        <v>25000000</v>
      </c>
      <c r="AF38" s="204">
        <v>25000000</v>
      </c>
      <c r="AG38" s="204">
        <f>세출명세서!O183</f>
        <v>25000000</v>
      </c>
      <c r="AH38" s="204">
        <f>세출명세서!P183</f>
        <v>25000000</v>
      </c>
      <c r="AI38" s="204">
        <f>세출명세서!Q183</f>
        <v>25000000</v>
      </c>
      <c r="AJ38" s="190">
        <f t="shared" si="11"/>
        <v>0</v>
      </c>
    </row>
    <row r="39" spans="1:40" s="231" customFormat="1" ht="22.5" customHeight="1">
      <c r="A39" s="265" t="s">
        <v>22</v>
      </c>
      <c r="B39" s="49" t="s">
        <v>22</v>
      </c>
      <c r="C39" s="50" t="s">
        <v>11</v>
      </c>
      <c r="D39" s="266" t="e">
        <f t="shared" ref="D39" si="31">SUM(D40:D41)</f>
        <v>#REF!</v>
      </c>
      <c r="E39" s="267">
        <f t="shared" ref="E39:Q39" si="32">SUM(E40:E41)</f>
        <v>4220000</v>
      </c>
      <c r="F39" s="266">
        <f t="shared" si="32"/>
        <v>8220000</v>
      </c>
      <c r="G39" s="268">
        <f t="shared" si="32"/>
        <v>7448000</v>
      </c>
      <c r="H39" s="372">
        <f t="shared" si="32"/>
        <v>6140000</v>
      </c>
      <c r="I39" s="269">
        <f t="shared" si="32"/>
        <v>5180000</v>
      </c>
      <c r="J39" s="269">
        <f t="shared" si="32"/>
        <v>5180000</v>
      </c>
      <c r="K39" s="269">
        <f t="shared" si="32"/>
        <v>5180000</v>
      </c>
      <c r="L39" s="269">
        <f t="shared" si="32"/>
        <v>7604000</v>
      </c>
      <c r="M39" s="269">
        <f t="shared" si="32"/>
        <v>7160000</v>
      </c>
      <c r="N39" s="269">
        <f t="shared" si="32"/>
        <v>7100000</v>
      </c>
      <c r="O39" s="269">
        <f t="shared" si="32"/>
        <v>4479000</v>
      </c>
      <c r="P39" s="269">
        <f t="shared" ref="P39" si="33">SUM(P40:P41)</f>
        <v>15553000</v>
      </c>
      <c r="Q39" s="269">
        <f t="shared" si="32"/>
        <v>47570000</v>
      </c>
      <c r="R39" s="241">
        <f t="shared" si="7"/>
        <v>43091000</v>
      </c>
      <c r="S39" s="53"/>
      <c r="T39" s="34"/>
      <c r="U39" s="51" t="s">
        <v>53</v>
      </c>
      <c r="V39" s="341" t="e">
        <f>#REF!</f>
        <v>#REF!</v>
      </c>
      <c r="W39" s="342">
        <f>세출명세서!E194</f>
        <v>2100000</v>
      </c>
      <c r="X39" s="342">
        <f>세출명세서!F194</f>
        <v>2100000</v>
      </c>
      <c r="Y39" s="341">
        <v>2850000</v>
      </c>
      <c r="Z39" s="343">
        <f>세출명세서!H194</f>
        <v>2100000</v>
      </c>
      <c r="AA39" s="344">
        <f>세출명세서!I194</f>
        <v>3580000</v>
      </c>
      <c r="AB39" s="344">
        <f>세출명세서!J194</f>
        <v>2580000</v>
      </c>
      <c r="AC39" s="341">
        <f>세출명세서!J194</f>
        <v>2580000</v>
      </c>
      <c r="AD39" s="204">
        <f>세출명세서!L194</f>
        <v>3080000</v>
      </c>
      <c r="AE39" s="204">
        <f>세출명세서!M194</f>
        <v>2670000</v>
      </c>
      <c r="AF39" s="204">
        <v>3170000</v>
      </c>
      <c r="AG39" s="204">
        <f>세출명세서!O194</f>
        <v>3170000</v>
      </c>
      <c r="AH39" s="204">
        <f>세출명세서!P194</f>
        <v>3170000</v>
      </c>
      <c r="AI39" s="204">
        <f>세출명세서!Q194</f>
        <v>3170000</v>
      </c>
      <c r="AJ39" s="190">
        <f t="shared" si="11"/>
        <v>0</v>
      </c>
    </row>
    <row r="40" spans="1:40" s="231" customFormat="1" ht="22.5" customHeight="1">
      <c r="A40" s="265"/>
      <c r="B40" s="242">
        <f>Q39/Q5*100</f>
        <v>1.4879379126079668</v>
      </c>
      <c r="C40" s="270" t="s">
        <v>43</v>
      </c>
      <c r="D40" s="257" t="e">
        <f>#REF!</f>
        <v>#REF!</v>
      </c>
      <c r="E40" s="258">
        <f>세입명세서!E57</f>
        <v>40000</v>
      </c>
      <c r="F40" s="257">
        <f>세입명세서!F57</f>
        <v>40000</v>
      </c>
      <c r="G40" s="259">
        <v>40000</v>
      </c>
      <c r="H40" s="367">
        <v>200000</v>
      </c>
      <c r="I40" s="260">
        <f>세입명세서!I57</f>
        <v>40000</v>
      </c>
      <c r="J40" s="260">
        <f>세입명세서!J57</f>
        <v>40000</v>
      </c>
      <c r="K40" s="260">
        <f>세입명세서!J57</f>
        <v>40000</v>
      </c>
      <c r="L40" s="260">
        <f>세입명세서!L57</f>
        <v>200000</v>
      </c>
      <c r="M40" s="260">
        <f>세입명세서!M57</f>
        <v>200000</v>
      </c>
      <c r="N40" s="260">
        <v>200000</v>
      </c>
      <c r="O40" s="260">
        <f>세입명세서!O57</f>
        <v>529000</v>
      </c>
      <c r="P40" s="260">
        <f>세입명세서!P57</f>
        <v>529000</v>
      </c>
      <c r="Q40" s="260">
        <f>세입명세서!Q57</f>
        <v>0</v>
      </c>
      <c r="R40" s="238">
        <f t="shared" si="7"/>
        <v>-529000</v>
      </c>
      <c r="S40" s="53"/>
      <c r="T40" s="34"/>
      <c r="U40" s="51" t="s">
        <v>54</v>
      </c>
      <c r="V40" s="341" t="e">
        <f>#REF!</f>
        <v>#REF!</v>
      </c>
      <c r="W40" s="342">
        <f>세출명세서!E199</f>
        <v>13500000</v>
      </c>
      <c r="X40" s="342">
        <f>세출명세서!F199</f>
        <v>14500000</v>
      </c>
      <c r="Y40" s="341">
        <v>13470000</v>
      </c>
      <c r="Z40" s="343">
        <v>19000000</v>
      </c>
      <c r="AA40" s="344">
        <f>세출명세서!I199</f>
        <v>19435000</v>
      </c>
      <c r="AB40" s="344">
        <f>세출명세서!J199</f>
        <v>12000000</v>
      </c>
      <c r="AC40" s="341">
        <v>28300000</v>
      </c>
      <c r="AD40" s="204">
        <f>세출명세서!L199</f>
        <v>25300000</v>
      </c>
      <c r="AE40" s="204">
        <f>세출명세서!M199</f>
        <v>22700000</v>
      </c>
      <c r="AF40" s="204">
        <v>23000000</v>
      </c>
      <c r="AG40" s="204">
        <f>세출명세서!O199</f>
        <v>55300000</v>
      </c>
      <c r="AH40" s="204">
        <f>세출명세서!P199</f>
        <v>55650000</v>
      </c>
      <c r="AI40" s="204">
        <f>세출명세서!Q199</f>
        <v>24000000</v>
      </c>
      <c r="AJ40" s="190">
        <f t="shared" si="11"/>
        <v>-31650000</v>
      </c>
    </row>
    <row r="41" spans="1:40" s="231" customFormat="1" ht="22.5" customHeight="1" thickBot="1">
      <c r="A41" s="271"/>
      <c r="B41" s="272"/>
      <c r="C41" s="273" t="s">
        <v>30</v>
      </c>
      <c r="D41" s="274" t="e">
        <f>#REF!</f>
        <v>#REF!</v>
      </c>
      <c r="E41" s="275">
        <f>세입명세서!E58</f>
        <v>4180000</v>
      </c>
      <c r="F41" s="274">
        <f>세입명세서!F58</f>
        <v>8180000</v>
      </c>
      <c r="G41" s="276">
        <v>7408000</v>
      </c>
      <c r="H41" s="373">
        <v>5940000</v>
      </c>
      <c r="I41" s="277">
        <f>세입명세서!I58</f>
        <v>5140000</v>
      </c>
      <c r="J41" s="277">
        <f>세입명세서!J58</f>
        <v>5140000</v>
      </c>
      <c r="K41" s="277">
        <f>세입명세서!J58</f>
        <v>5140000</v>
      </c>
      <c r="L41" s="277">
        <f>세입명세서!L58</f>
        <v>7404000</v>
      </c>
      <c r="M41" s="277">
        <f>세입명세서!M58</f>
        <v>6960000</v>
      </c>
      <c r="N41" s="277">
        <v>6900000</v>
      </c>
      <c r="O41" s="277">
        <f>세입명세서!O58</f>
        <v>3950000</v>
      </c>
      <c r="P41" s="277">
        <f>세입명세서!P58</f>
        <v>15024000</v>
      </c>
      <c r="Q41" s="277">
        <f>세입명세서!Q58</f>
        <v>47570000</v>
      </c>
      <c r="R41" s="278">
        <f t="shared" si="7"/>
        <v>43620000</v>
      </c>
      <c r="S41" s="53"/>
      <c r="T41" s="34"/>
      <c r="U41" s="51" t="s">
        <v>49</v>
      </c>
      <c r="V41" s="341" t="e">
        <f>#REF!</f>
        <v>#REF!</v>
      </c>
      <c r="W41" s="342">
        <f>세출명세서!E202</f>
        <v>2060000</v>
      </c>
      <c r="X41" s="342">
        <f>세출명세서!F202</f>
        <v>2660000</v>
      </c>
      <c r="Y41" s="341">
        <v>2060000</v>
      </c>
      <c r="Z41" s="343">
        <f>세출명세서!H202</f>
        <v>3160000</v>
      </c>
      <c r="AA41" s="344">
        <f>세출명세서!I202</f>
        <v>6820000</v>
      </c>
      <c r="AB41" s="344">
        <f>세출명세서!J202</f>
        <v>4220000</v>
      </c>
      <c r="AC41" s="341">
        <v>6600000</v>
      </c>
      <c r="AD41" s="204">
        <f>세출명세서!L202</f>
        <v>9600000</v>
      </c>
      <c r="AE41" s="204">
        <f>세출명세서!M202</f>
        <v>9650000</v>
      </c>
      <c r="AF41" s="204">
        <v>9850000</v>
      </c>
      <c r="AG41" s="204">
        <f>세출명세서!O202</f>
        <v>7400000</v>
      </c>
      <c r="AH41" s="204">
        <f>세출명세서!P202</f>
        <v>7400000</v>
      </c>
      <c r="AI41" s="204">
        <f>세출명세서!Q202</f>
        <v>8400000</v>
      </c>
      <c r="AJ41" s="190">
        <f t="shared" si="11"/>
        <v>1000000</v>
      </c>
    </row>
    <row r="42" spans="1:40" s="284" customFormat="1" ht="22.5" customHeight="1">
      <c r="A42" s="547"/>
      <c r="B42" s="548"/>
      <c r="C42" s="548"/>
      <c r="D42" s="549"/>
      <c r="E42" s="549"/>
      <c r="F42" s="549"/>
      <c r="G42" s="549"/>
      <c r="H42" s="549"/>
      <c r="I42" s="549"/>
      <c r="J42" s="549"/>
      <c r="K42" s="549"/>
      <c r="L42" s="549"/>
      <c r="M42" s="549"/>
      <c r="N42" s="549"/>
      <c r="O42" s="549"/>
      <c r="P42" s="549"/>
      <c r="Q42" s="549"/>
      <c r="R42" s="550"/>
      <c r="S42" s="301"/>
      <c r="T42" s="34"/>
      <c r="U42" s="51" t="s">
        <v>140</v>
      </c>
      <c r="V42" s="341" t="e">
        <f>#REF!</f>
        <v>#REF!</v>
      </c>
      <c r="W42" s="342">
        <f>세출명세서!E209</f>
        <v>4920000</v>
      </c>
      <c r="X42" s="342">
        <f>세출명세서!F209</f>
        <v>4920000</v>
      </c>
      <c r="Y42" s="341">
        <v>2920000</v>
      </c>
      <c r="Z42" s="343">
        <f>세출명세서!H209</f>
        <v>4920000</v>
      </c>
      <c r="AA42" s="344">
        <f>세출명세서!I209</f>
        <v>5264000</v>
      </c>
      <c r="AB42" s="344">
        <f>세출명세서!J209</f>
        <v>4840000</v>
      </c>
      <c r="AC42" s="341">
        <v>5300000</v>
      </c>
      <c r="AD42" s="204">
        <f>세출명세서!L209</f>
        <v>5300000</v>
      </c>
      <c r="AE42" s="204">
        <f>세출명세서!M209</f>
        <v>5540000</v>
      </c>
      <c r="AF42" s="204">
        <v>6040000</v>
      </c>
      <c r="AG42" s="204">
        <f>세출명세서!O209</f>
        <v>4490000</v>
      </c>
      <c r="AH42" s="204">
        <f>세출명세서!P209</f>
        <v>5240000</v>
      </c>
      <c r="AI42" s="204">
        <f>세출명세서!Q209</f>
        <v>6540000</v>
      </c>
      <c r="AJ42" s="190">
        <f t="shared" si="11"/>
        <v>1300000</v>
      </c>
    </row>
    <row r="43" spans="1:40" s="284" customFormat="1" ht="22.5" customHeight="1">
      <c r="A43" s="279"/>
      <c r="B43" s="280"/>
      <c r="C43" s="303"/>
      <c r="D43" s="303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301"/>
      <c r="T43" s="34"/>
      <c r="U43" s="51" t="s">
        <v>55</v>
      </c>
      <c r="V43" s="341" t="e">
        <f>#REF!</f>
        <v>#REF!</v>
      </c>
      <c r="W43" s="342">
        <f>세출명세서!E214</f>
        <v>420000</v>
      </c>
      <c r="X43" s="342">
        <f>세출명세서!F214</f>
        <v>420000</v>
      </c>
      <c r="Y43" s="341">
        <v>420000</v>
      </c>
      <c r="Z43" s="343">
        <f>세출명세서!H214</f>
        <v>420000</v>
      </c>
      <c r="AA43" s="344">
        <f>세출명세서!I214</f>
        <v>420000</v>
      </c>
      <c r="AB43" s="344">
        <f>세출명세서!J214</f>
        <v>100000</v>
      </c>
      <c r="AC43" s="341">
        <f>세출명세서!J214</f>
        <v>100000</v>
      </c>
      <c r="AD43" s="204">
        <f>세출명세서!L214</f>
        <v>3600000</v>
      </c>
      <c r="AE43" s="204">
        <f>세출명세서!M214</f>
        <v>100000</v>
      </c>
      <c r="AF43" s="204">
        <v>200000</v>
      </c>
      <c r="AG43" s="204">
        <f>세출명세서!O214</f>
        <v>200000</v>
      </c>
      <c r="AH43" s="204">
        <f>세출명세서!P214</f>
        <v>200000</v>
      </c>
      <c r="AI43" s="204">
        <f>세출명세서!Q214</f>
        <v>100000</v>
      </c>
      <c r="AJ43" s="190">
        <f t="shared" si="11"/>
        <v>-100000</v>
      </c>
    </row>
    <row r="44" spans="1:40" s="284" customFormat="1" ht="22.5" customHeight="1">
      <c r="A44" s="279"/>
      <c r="B44" s="280"/>
      <c r="C44" s="281"/>
      <c r="D44" s="303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301"/>
      <c r="T44" s="34"/>
      <c r="U44" s="374" t="s">
        <v>432</v>
      </c>
      <c r="V44" s="341"/>
      <c r="W44" s="342"/>
      <c r="X44" s="342"/>
      <c r="Y44" s="341"/>
      <c r="Z44" s="343"/>
      <c r="AA44" s="344"/>
      <c r="AB44" s="344"/>
      <c r="AC44" s="341"/>
      <c r="AD44" s="204">
        <f>세출명세서!L215</f>
        <v>68055000</v>
      </c>
      <c r="AE44" s="204">
        <f>세출명세서!M215</f>
        <v>120250000</v>
      </c>
      <c r="AF44" s="204">
        <v>120250000</v>
      </c>
      <c r="AG44" s="204">
        <f>세출명세서!O215</f>
        <v>120250000</v>
      </c>
      <c r="AH44" s="204">
        <f>세출명세서!P215</f>
        <v>120250000</v>
      </c>
      <c r="AI44" s="204">
        <f>세출명세서!Q215</f>
        <v>122005000</v>
      </c>
      <c r="AJ44" s="190">
        <f t="shared" si="11"/>
        <v>1755000</v>
      </c>
    </row>
    <row r="45" spans="1:40" s="284" customFormat="1" ht="22.5" customHeight="1">
      <c r="A45" s="599"/>
      <c r="B45" s="600"/>
      <c r="C45" s="600"/>
      <c r="D45" s="294"/>
      <c r="E45" s="294"/>
      <c r="F45" s="282"/>
      <c r="G45" s="282"/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301"/>
      <c r="T45" s="34"/>
      <c r="U45" s="376" t="s">
        <v>433</v>
      </c>
      <c r="V45" s="341"/>
      <c r="W45" s="342"/>
      <c r="X45" s="342"/>
      <c r="Y45" s="341"/>
      <c r="Z45" s="343"/>
      <c r="AA45" s="344"/>
      <c r="AB45" s="344"/>
      <c r="AC45" s="341"/>
      <c r="AD45" s="204">
        <f>세출명세서!L217</f>
        <v>24710000</v>
      </c>
      <c r="AE45" s="204">
        <f>세출명세서!M217</f>
        <v>25641000</v>
      </c>
      <c r="AF45" s="204">
        <v>27535000</v>
      </c>
      <c r="AG45" s="204">
        <f>세출명세서!O217</f>
        <v>27535000</v>
      </c>
      <c r="AH45" s="204">
        <f>세출명세서!P217</f>
        <v>27535000</v>
      </c>
      <c r="AI45" s="204">
        <f>세출명세서!Q217</f>
        <v>28060000</v>
      </c>
      <c r="AJ45" s="190">
        <f t="shared" si="11"/>
        <v>525000</v>
      </c>
    </row>
    <row r="46" spans="1:40" s="284" customFormat="1" ht="22.5" customHeight="1">
      <c r="A46" s="599"/>
      <c r="B46" s="600"/>
      <c r="C46" s="600"/>
      <c r="D46" s="294"/>
      <c r="E46" s="294"/>
      <c r="F46" s="294"/>
      <c r="G46" s="294"/>
      <c r="H46" s="294"/>
      <c r="I46" s="294"/>
      <c r="J46" s="294"/>
      <c r="K46" s="294"/>
      <c r="L46" s="294"/>
      <c r="M46" s="294"/>
      <c r="N46" s="294"/>
      <c r="O46" s="294"/>
      <c r="P46" s="294"/>
      <c r="Q46" s="294"/>
      <c r="R46" s="294"/>
      <c r="S46" s="301"/>
      <c r="T46" s="34"/>
      <c r="U46" s="51" t="s">
        <v>434</v>
      </c>
      <c r="V46" s="341"/>
      <c r="W46" s="342"/>
      <c r="X46" s="342"/>
      <c r="Y46" s="341"/>
      <c r="Z46" s="343"/>
      <c r="AA46" s="344"/>
      <c r="AB46" s="344"/>
      <c r="AC46" s="341"/>
      <c r="AD46" s="204">
        <f>세출명세서!L221</f>
        <v>39400000</v>
      </c>
      <c r="AE46" s="204">
        <f>세출명세서!M221</f>
        <v>39400000</v>
      </c>
      <c r="AF46" s="204">
        <v>39832000</v>
      </c>
      <c r="AG46" s="204">
        <f>세출명세서!O221</f>
        <v>39832000</v>
      </c>
      <c r="AH46" s="204">
        <f>세출명세서!P221</f>
        <v>39832000</v>
      </c>
      <c r="AI46" s="204">
        <f>세출명세서!Q221</f>
        <v>39832000</v>
      </c>
      <c r="AJ46" s="190">
        <f t="shared" si="11"/>
        <v>0</v>
      </c>
    </row>
    <row r="47" spans="1:40" s="284" customFormat="1" ht="22.5" customHeight="1">
      <c r="A47" s="599"/>
      <c r="B47" s="600"/>
      <c r="C47" s="600"/>
      <c r="D47" s="294"/>
      <c r="E47" s="294"/>
      <c r="F47" s="294"/>
      <c r="G47" s="294"/>
      <c r="H47" s="294"/>
      <c r="I47" s="294"/>
      <c r="J47" s="294"/>
      <c r="K47" s="294"/>
      <c r="L47" s="294"/>
      <c r="M47" s="294"/>
      <c r="N47" s="294"/>
      <c r="O47" s="294"/>
      <c r="P47" s="294"/>
      <c r="Q47" s="294"/>
      <c r="R47" s="294"/>
      <c r="S47" s="301"/>
      <c r="T47" s="34"/>
      <c r="U47" s="51" t="s">
        <v>435</v>
      </c>
      <c r="V47" s="341"/>
      <c r="W47" s="342"/>
      <c r="X47" s="342"/>
      <c r="Y47" s="341"/>
      <c r="Z47" s="343"/>
      <c r="AA47" s="344"/>
      <c r="AB47" s="344"/>
      <c r="AC47" s="341"/>
      <c r="AD47" s="204">
        <f>세출명세서!L232</f>
        <v>10000000</v>
      </c>
      <c r="AE47" s="204">
        <f>세출명세서!M232</f>
        <v>0</v>
      </c>
      <c r="AF47" s="204">
        <v>0</v>
      </c>
      <c r="AG47" s="204">
        <f>세출명세서!O232</f>
        <v>0</v>
      </c>
      <c r="AH47" s="204">
        <f>세출명세서!P232</f>
        <v>0</v>
      </c>
      <c r="AI47" s="204">
        <f>세출명세서!Q232</f>
        <v>0</v>
      </c>
      <c r="AJ47" s="190">
        <f t="shared" si="11"/>
        <v>0</v>
      </c>
    </row>
    <row r="48" spans="1:40" s="284" customFormat="1" ht="22.5" customHeight="1">
      <c r="A48" s="599"/>
      <c r="B48" s="600"/>
      <c r="C48" s="600"/>
      <c r="D48" s="294"/>
      <c r="E48" s="294"/>
      <c r="F48" s="294"/>
      <c r="G48" s="294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301"/>
      <c r="T48" s="34"/>
      <c r="U48" s="51" t="s">
        <v>436</v>
      </c>
      <c r="V48" s="341"/>
      <c r="W48" s="342"/>
      <c r="X48" s="342"/>
      <c r="Y48" s="341"/>
      <c r="Z48" s="343"/>
      <c r="AA48" s="344"/>
      <c r="AB48" s="344"/>
      <c r="AC48" s="341"/>
      <c r="AD48" s="204">
        <f>세출명세서!L233</f>
        <v>0</v>
      </c>
      <c r="AE48" s="204">
        <f>세출명세서!M233</f>
        <v>5400000</v>
      </c>
      <c r="AF48" s="204">
        <v>5400000</v>
      </c>
      <c r="AG48" s="204">
        <f>세출명세서!O233</f>
        <v>5400000</v>
      </c>
      <c r="AH48" s="204">
        <f>세출명세서!P233</f>
        <v>5400000</v>
      </c>
      <c r="AI48" s="204">
        <f>세출명세서!Q233</f>
        <v>8000000</v>
      </c>
      <c r="AJ48" s="190">
        <f t="shared" si="11"/>
        <v>2600000</v>
      </c>
    </row>
    <row r="49" spans="1:36" s="284" customFormat="1" ht="22.5" customHeight="1">
      <c r="A49" s="599"/>
      <c r="B49" s="600"/>
      <c r="C49" s="600"/>
      <c r="D49" s="294"/>
      <c r="E49" s="294"/>
      <c r="F49" s="294"/>
      <c r="G49" s="294"/>
      <c r="H49" s="294"/>
      <c r="I49" s="294"/>
      <c r="J49" s="294"/>
      <c r="K49" s="294"/>
      <c r="L49" s="294"/>
      <c r="M49" s="294"/>
      <c r="N49" s="294"/>
      <c r="O49" s="294"/>
      <c r="P49" s="294"/>
      <c r="Q49" s="294"/>
      <c r="R49" s="294"/>
      <c r="S49" s="301"/>
      <c r="T49" s="34"/>
      <c r="U49" s="51" t="s">
        <v>437</v>
      </c>
      <c r="V49" s="341"/>
      <c r="W49" s="342"/>
      <c r="X49" s="342"/>
      <c r="Y49" s="341"/>
      <c r="Z49" s="343"/>
      <c r="AA49" s="344"/>
      <c r="AB49" s="344"/>
      <c r="AC49" s="341"/>
      <c r="AD49" s="204">
        <f>세출명세서!L254</f>
        <v>41088400</v>
      </c>
      <c r="AE49" s="204">
        <f>세출명세서!M254</f>
        <v>22966000</v>
      </c>
      <c r="AF49" s="204">
        <v>23067000</v>
      </c>
      <c r="AG49" s="204">
        <f>세출명세서!O254</f>
        <v>23067000</v>
      </c>
      <c r="AH49" s="204">
        <f>세출명세서!P254</f>
        <v>23067000</v>
      </c>
      <c r="AI49" s="204">
        <f>세출명세서!Q254</f>
        <v>0</v>
      </c>
      <c r="AJ49" s="190">
        <f t="shared" si="11"/>
        <v>-23067000</v>
      </c>
    </row>
    <row r="50" spans="1:36" s="284" customFormat="1" ht="22.5" customHeight="1">
      <c r="A50" s="599"/>
      <c r="B50" s="600"/>
      <c r="C50" s="600"/>
      <c r="D50" s="294"/>
      <c r="E50" s="294"/>
      <c r="F50" s="294"/>
      <c r="G50" s="294"/>
      <c r="H50" s="294"/>
      <c r="I50" s="294"/>
      <c r="J50" s="294"/>
      <c r="K50" s="294"/>
      <c r="L50" s="294"/>
      <c r="M50" s="294"/>
      <c r="N50" s="294"/>
      <c r="O50" s="294"/>
      <c r="P50" s="294"/>
      <c r="Q50" s="294"/>
      <c r="R50" s="294"/>
      <c r="S50" s="301"/>
      <c r="T50" s="34"/>
      <c r="U50" s="51" t="s">
        <v>438</v>
      </c>
      <c r="V50" s="341"/>
      <c r="W50" s="342"/>
      <c r="X50" s="342"/>
      <c r="Y50" s="341"/>
      <c r="Z50" s="343"/>
      <c r="AA50" s="344"/>
      <c r="AB50" s="344"/>
      <c r="AC50" s="341"/>
      <c r="AD50" s="204">
        <f>세출명세서!L255</f>
        <v>86490000</v>
      </c>
      <c r="AE50" s="204">
        <f>세출명세서!M255</f>
        <v>39540000</v>
      </c>
      <c r="AF50" s="204">
        <v>39540000</v>
      </c>
      <c r="AG50" s="204">
        <f>세출명세서!O255</f>
        <v>39540000</v>
      </c>
      <c r="AH50" s="204">
        <f>세출명세서!P255</f>
        <v>39540000</v>
      </c>
      <c r="AI50" s="204">
        <f>세출명세서!Q255</f>
        <v>36930000</v>
      </c>
      <c r="AJ50" s="190">
        <f t="shared" si="11"/>
        <v>-2610000</v>
      </c>
    </row>
    <row r="51" spans="1:36" s="284" customFormat="1" ht="22.5" customHeight="1">
      <c r="A51" s="599"/>
      <c r="B51" s="600"/>
      <c r="C51" s="600"/>
      <c r="D51" s="375"/>
      <c r="E51" s="375"/>
      <c r="F51" s="375"/>
      <c r="G51" s="375"/>
      <c r="H51" s="375"/>
      <c r="I51" s="375"/>
      <c r="J51" s="375"/>
      <c r="K51" s="375"/>
      <c r="L51" s="375"/>
      <c r="M51" s="375"/>
      <c r="N51" s="375"/>
      <c r="O51" s="375"/>
      <c r="P51" s="375"/>
      <c r="Q51" s="375"/>
      <c r="R51" s="375"/>
      <c r="S51" s="301"/>
      <c r="T51" s="34"/>
      <c r="U51" s="51" t="s">
        <v>439</v>
      </c>
      <c r="V51" s="341"/>
      <c r="W51" s="342"/>
      <c r="X51" s="342"/>
      <c r="Y51" s="341"/>
      <c r="Z51" s="343"/>
      <c r="AA51" s="344"/>
      <c r="AB51" s="344"/>
      <c r="AC51" s="341"/>
      <c r="AD51" s="204">
        <f>세출명세서!L261</f>
        <v>775000</v>
      </c>
      <c r="AE51" s="204">
        <f>세출명세서!M261</f>
        <v>775000</v>
      </c>
      <c r="AF51" s="204">
        <v>775000</v>
      </c>
      <c r="AG51" s="204">
        <f>세출명세서!O261</f>
        <v>775000</v>
      </c>
      <c r="AH51" s="204">
        <f>세출명세서!P261</f>
        <v>775000</v>
      </c>
      <c r="AI51" s="204">
        <f>세출명세서!Q261</f>
        <v>775000</v>
      </c>
      <c r="AJ51" s="190">
        <f t="shared" si="11"/>
        <v>0</v>
      </c>
    </row>
    <row r="52" spans="1:36" s="284" customFormat="1" ht="22.5" customHeight="1">
      <c r="A52" s="599"/>
      <c r="B52" s="600"/>
      <c r="C52" s="600"/>
      <c r="D52" s="294"/>
      <c r="E52" s="294"/>
      <c r="F52" s="294"/>
      <c r="G52" s="294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309"/>
      <c r="T52" s="34"/>
      <c r="U52" s="51" t="s">
        <v>630</v>
      </c>
      <c r="V52" s="341"/>
      <c r="W52" s="342"/>
      <c r="X52" s="342"/>
      <c r="Y52" s="341"/>
      <c r="Z52" s="343"/>
      <c r="AA52" s="344"/>
      <c r="AB52" s="344"/>
      <c r="AC52" s="341"/>
      <c r="AD52" s="204"/>
      <c r="AE52" s="204"/>
      <c r="AF52" s="204"/>
      <c r="AG52" s="204"/>
      <c r="AH52" s="204">
        <f>세출명세서!P262</f>
        <v>0</v>
      </c>
      <c r="AI52" s="204">
        <f>세출명세서!Q262</f>
        <v>35000000</v>
      </c>
      <c r="AJ52" s="190">
        <f t="shared" si="11"/>
        <v>35000000</v>
      </c>
    </row>
    <row r="53" spans="1:36" s="284" customFormat="1" ht="33">
      <c r="A53" s="599"/>
      <c r="B53" s="600"/>
      <c r="C53" s="600"/>
      <c r="D53" s="294"/>
      <c r="E53" s="294"/>
      <c r="F53" s="294"/>
      <c r="G53" s="294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301"/>
      <c r="T53" s="34"/>
      <c r="U53" s="377" t="s">
        <v>440</v>
      </c>
      <c r="V53" s="341"/>
      <c r="W53" s="342"/>
      <c r="X53" s="342"/>
      <c r="Y53" s="341"/>
      <c r="Z53" s="343"/>
      <c r="AA53" s="344"/>
      <c r="AB53" s="344"/>
      <c r="AC53" s="341"/>
      <c r="AD53" s="204">
        <f>세출명세서!L268</f>
        <v>0</v>
      </c>
      <c r="AE53" s="204">
        <f>세출명세서!M268</f>
        <v>0</v>
      </c>
      <c r="AF53" s="204">
        <v>1600000</v>
      </c>
      <c r="AG53" s="204">
        <f>세출명세서!O268</f>
        <v>1600000</v>
      </c>
      <c r="AH53" s="204">
        <f>세출명세서!P268</f>
        <v>1600000</v>
      </c>
      <c r="AI53" s="204">
        <f>세출명세서!Q268</f>
        <v>0</v>
      </c>
      <c r="AJ53" s="190">
        <f t="shared" si="11"/>
        <v>-1600000</v>
      </c>
    </row>
    <row r="54" spans="1:36" s="284" customFormat="1" ht="33">
      <c r="A54" s="599"/>
      <c r="B54" s="600"/>
      <c r="C54" s="600"/>
      <c r="D54" s="294"/>
      <c r="E54" s="294"/>
      <c r="F54" s="294"/>
      <c r="G54" s="294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301"/>
      <c r="T54" s="34"/>
      <c r="U54" s="377" t="s">
        <v>441</v>
      </c>
      <c r="V54" s="341"/>
      <c r="W54" s="342"/>
      <c r="X54" s="342"/>
      <c r="Y54" s="341"/>
      <c r="Z54" s="343"/>
      <c r="AA54" s="344"/>
      <c r="AB54" s="344"/>
      <c r="AC54" s="341"/>
      <c r="AD54" s="204"/>
      <c r="AE54" s="204">
        <f>세출명세서!M269</f>
        <v>0</v>
      </c>
      <c r="AF54" s="204">
        <v>0</v>
      </c>
      <c r="AG54" s="204">
        <f>세출명세서!O270</f>
        <v>3200000</v>
      </c>
      <c r="AH54" s="204">
        <f>세출명세서!P270</f>
        <v>3200000</v>
      </c>
      <c r="AI54" s="204">
        <f>세출명세서!Q270</f>
        <v>0</v>
      </c>
      <c r="AJ54" s="190">
        <f t="shared" si="11"/>
        <v>-3200000</v>
      </c>
    </row>
    <row r="55" spans="1:36" s="284" customFormat="1" ht="33">
      <c r="A55" s="599"/>
      <c r="B55" s="600"/>
      <c r="C55" s="600"/>
      <c r="D55" s="294"/>
      <c r="E55" s="294"/>
      <c r="F55" s="294"/>
      <c r="G55" s="294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301"/>
      <c r="T55" s="34"/>
      <c r="U55" s="377" t="s">
        <v>442</v>
      </c>
      <c r="V55" s="341"/>
      <c r="W55" s="342"/>
      <c r="X55" s="342"/>
      <c r="Y55" s="341"/>
      <c r="Z55" s="343"/>
      <c r="AA55" s="344"/>
      <c r="AB55" s="344"/>
      <c r="AC55" s="341"/>
      <c r="AD55" s="204"/>
      <c r="AE55" s="204">
        <f>세출명세서!M270</f>
        <v>0</v>
      </c>
      <c r="AF55" s="204">
        <v>0</v>
      </c>
      <c r="AG55" s="204">
        <f>세출명세서!O272</f>
        <v>3200000</v>
      </c>
      <c r="AH55" s="204">
        <f>세출명세서!P272</f>
        <v>3200000</v>
      </c>
      <c r="AI55" s="204">
        <f>세출명세서!Q272</f>
        <v>0</v>
      </c>
      <c r="AJ55" s="190">
        <f t="shared" si="11"/>
        <v>-3200000</v>
      </c>
    </row>
    <row r="56" spans="1:36" s="284" customFormat="1" ht="22.5" customHeight="1">
      <c r="A56" s="599"/>
      <c r="B56" s="600"/>
      <c r="C56" s="600"/>
      <c r="D56" s="294"/>
      <c r="E56" s="294"/>
      <c r="F56" s="294"/>
      <c r="G56" s="294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301"/>
      <c r="T56" s="34"/>
      <c r="U56" s="51" t="s">
        <v>443</v>
      </c>
      <c r="V56" s="341"/>
      <c r="W56" s="342"/>
      <c r="X56" s="342"/>
      <c r="Y56" s="341"/>
      <c r="Z56" s="343"/>
      <c r="AA56" s="344"/>
      <c r="AB56" s="344"/>
      <c r="AC56" s="341"/>
      <c r="AD56" s="204">
        <f>세출명세서!L274</f>
        <v>130000000</v>
      </c>
      <c r="AE56" s="204">
        <f>세출명세서!M274</f>
        <v>0</v>
      </c>
      <c r="AF56" s="204">
        <v>0</v>
      </c>
      <c r="AG56" s="204">
        <f>세출명세서!O274</f>
        <v>0</v>
      </c>
      <c r="AH56" s="204">
        <f>세출명세서!P274</f>
        <v>0</v>
      </c>
      <c r="AI56" s="204">
        <f>세출명세서!Q274</f>
        <v>0</v>
      </c>
      <c r="AJ56" s="190">
        <f t="shared" si="11"/>
        <v>0</v>
      </c>
    </row>
    <row r="57" spans="1:36" s="284" customFormat="1" ht="22.5" customHeight="1">
      <c r="A57" s="599"/>
      <c r="B57" s="600"/>
      <c r="C57" s="600"/>
      <c r="D57" s="294"/>
      <c r="E57" s="294"/>
      <c r="F57" s="294"/>
      <c r="G57" s="294"/>
      <c r="H57" s="294"/>
      <c r="I57" s="294"/>
      <c r="J57" s="294"/>
      <c r="K57" s="294"/>
      <c r="L57" s="294"/>
      <c r="M57" s="294"/>
      <c r="N57" s="294"/>
      <c r="O57" s="294"/>
      <c r="P57" s="294"/>
      <c r="Q57" s="294"/>
      <c r="R57" s="294"/>
      <c r="S57" s="301"/>
      <c r="T57" s="34"/>
      <c r="U57" s="51" t="s">
        <v>444</v>
      </c>
      <c r="V57" s="341"/>
      <c r="W57" s="342"/>
      <c r="X57" s="342"/>
      <c r="Y57" s="341"/>
      <c r="Z57" s="343"/>
      <c r="AA57" s="344"/>
      <c r="AB57" s="344"/>
      <c r="AC57" s="341"/>
      <c r="AD57" s="204"/>
      <c r="AE57" s="204">
        <v>0</v>
      </c>
      <c r="AF57" s="204">
        <v>0</v>
      </c>
      <c r="AG57" s="204">
        <f>세출명세서!O275</f>
        <v>1600000</v>
      </c>
      <c r="AH57" s="204">
        <f>세출명세서!P275</f>
        <v>1600000</v>
      </c>
      <c r="AI57" s="204">
        <f>세출명세서!Q275</f>
        <v>0</v>
      </c>
      <c r="AJ57" s="190">
        <f t="shared" si="11"/>
        <v>-1600000</v>
      </c>
    </row>
    <row r="58" spans="1:36" s="284" customFormat="1" ht="22.5" customHeight="1">
      <c r="A58" s="599"/>
      <c r="B58" s="600"/>
      <c r="C58" s="600"/>
      <c r="D58" s="294"/>
      <c r="E58" s="294"/>
      <c r="F58" s="294"/>
      <c r="G58" s="294"/>
      <c r="H58" s="294"/>
      <c r="I58" s="294"/>
      <c r="J58" s="294"/>
      <c r="K58" s="294"/>
      <c r="L58" s="294"/>
      <c r="M58" s="294"/>
      <c r="N58" s="294"/>
      <c r="O58" s="294"/>
      <c r="P58" s="294"/>
      <c r="Q58" s="294"/>
      <c r="R58" s="294"/>
      <c r="S58" s="301"/>
      <c r="T58" s="184"/>
      <c r="U58" s="51" t="s">
        <v>445</v>
      </c>
      <c r="V58" s="341"/>
      <c r="W58" s="342"/>
      <c r="X58" s="342"/>
      <c r="Y58" s="341"/>
      <c r="Z58" s="343"/>
      <c r="AA58" s="344"/>
      <c r="AB58" s="344"/>
      <c r="AC58" s="341"/>
      <c r="AD58" s="204"/>
      <c r="AE58" s="204"/>
      <c r="AF58" s="204"/>
      <c r="AG58" s="204">
        <f>세출명세서!O276</f>
        <v>0</v>
      </c>
      <c r="AH58" s="204">
        <f>세출명세서!P276</f>
        <v>11074000</v>
      </c>
      <c r="AI58" s="204">
        <f>세출명세서!Q276</f>
        <v>42770000</v>
      </c>
      <c r="AJ58" s="190">
        <f t="shared" si="11"/>
        <v>31696000</v>
      </c>
    </row>
    <row r="59" spans="1:36" s="231" customFormat="1" ht="22.5" customHeight="1">
      <c r="A59" s="599"/>
      <c r="B59" s="600"/>
      <c r="C59" s="600"/>
      <c r="D59" s="294"/>
      <c r="E59" s="294"/>
      <c r="F59" s="294"/>
      <c r="G59" s="294"/>
      <c r="H59" s="294"/>
      <c r="I59" s="294"/>
      <c r="J59" s="294"/>
      <c r="K59" s="294"/>
      <c r="L59" s="294"/>
      <c r="M59" s="294"/>
      <c r="N59" s="294"/>
      <c r="O59" s="294"/>
      <c r="P59" s="294"/>
      <c r="Q59" s="294"/>
      <c r="R59" s="294"/>
      <c r="S59" s="601" t="s">
        <v>39</v>
      </c>
      <c r="T59" s="302" t="s">
        <v>39</v>
      </c>
      <c r="U59" s="56" t="s">
        <v>7</v>
      </c>
      <c r="V59" s="378" t="e">
        <f t="shared" ref="V59:AI60" si="34">V60</f>
        <v>#REF!</v>
      </c>
      <c r="W59" s="379">
        <f t="shared" si="34"/>
        <v>0</v>
      </c>
      <c r="X59" s="379">
        <f t="shared" si="34"/>
        <v>45000</v>
      </c>
      <c r="Y59" s="378">
        <f>Y60</f>
        <v>74000</v>
      </c>
      <c r="Z59" s="380">
        <f>Z60</f>
        <v>120000</v>
      </c>
      <c r="AA59" s="381">
        <f t="shared" si="34"/>
        <v>200000</v>
      </c>
      <c r="AB59" s="381">
        <f t="shared" si="34"/>
        <v>200000</v>
      </c>
      <c r="AC59" s="378">
        <f t="shared" si="34"/>
        <v>98000</v>
      </c>
      <c r="AD59" s="209">
        <f t="shared" si="34"/>
        <v>460000</v>
      </c>
      <c r="AE59" s="209">
        <f t="shared" si="34"/>
        <v>200000</v>
      </c>
      <c r="AF59" s="209">
        <f t="shared" si="34"/>
        <v>661000</v>
      </c>
      <c r="AG59" s="209">
        <f t="shared" si="34"/>
        <v>990000</v>
      </c>
      <c r="AH59" s="209">
        <f t="shared" si="34"/>
        <v>990000</v>
      </c>
      <c r="AI59" s="209">
        <f t="shared" si="34"/>
        <v>200000</v>
      </c>
      <c r="AJ59" s="552">
        <f t="shared" si="11"/>
        <v>-790000</v>
      </c>
    </row>
    <row r="60" spans="1:36" s="231" customFormat="1" ht="22.5" customHeight="1">
      <c r="A60" s="599"/>
      <c r="B60" s="600"/>
      <c r="C60" s="600"/>
      <c r="D60" s="294"/>
      <c r="E60" s="294"/>
      <c r="F60" s="294"/>
      <c r="G60" s="294"/>
      <c r="H60" s="294"/>
      <c r="I60" s="294"/>
      <c r="J60" s="294"/>
      <c r="K60" s="294"/>
      <c r="L60" s="294"/>
      <c r="M60" s="294"/>
      <c r="N60" s="294"/>
      <c r="O60" s="294"/>
      <c r="P60" s="294"/>
      <c r="Q60" s="294"/>
      <c r="R60" s="294"/>
      <c r="S60" s="602"/>
      <c r="T60" s="302"/>
      <c r="U60" s="57" t="s">
        <v>11</v>
      </c>
      <c r="V60" s="378" t="e">
        <f t="shared" si="34"/>
        <v>#REF!</v>
      </c>
      <c r="W60" s="379">
        <f t="shared" si="34"/>
        <v>0</v>
      </c>
      <c r="X60" s="379">
        <f t="shared" si="34"/>
        <v>45000</v>
      </c>
      <c r="Y60" s="378">
        <f>Y61</f>
        <v>74000</v>
      </c>
      <c r="Z60" s="380">
        <f>Z61</f>
        <v>120000</v>
      </c>
      <c r="AA60" s="381">
        <f t="shared" si="34"/>
        <v>200000</v>
      </c>
      <c r="AB60" s="381">
        <f t="shared" si="34"/>
        <v>200000</v>
      </c>
      <c r="AC60" s="378">
        <f t="shared" si="34"/>
        <v>98000</v>
      </c>
      <c r="AD60" s="209">
        <f t="shared" si="34"/>
        <v>460000</v>
      </c>
      <c r="AE60" s="209">
        <f t="shared" si="34"/>
        <v>200000</v>
      </c>
      <c r="AF60" s="209">
        <f t="shared" si="34"/>
        <v>661000</v>
      </c>
      <c r="AG60" s="209">
        <f t="shared" si="34"/>
        <v>990000</v>
      </c>
      <c r="AH60" s="209">
        <f t="shared" si="34"/>
        <v>990000</v>
      </c>
      <c r="AI60" s="209">
        <f t="shared" si="34"/>
        <v>200000</v>
      </c>
      <c r="AJ60" s="552">
        <f t="shared" si="11"/>
        <v>-790000</v>
      </c>
    </row>
    <row r="61" spans="1:36" s="231" customFormat="1" ht="22.5" customHeight="1">
      <c r="A61" s="599"/>
      <c r="B61" s="600"/>
      <c r="C61" s="600"/>
      <c r="D61" s="294"/>
      <c r="E61" s="294"/>
      <c r="F61" s="294"/>
      <c r="G61" s="294"/>
      <c r="H61" s="294"/>
      <c r="I61" s="294"/>
      <c r="J61" s="294"/>
      <c r="K61" s="294"/>
      <c r="L61" s="294"/>
      <c r="M61" s="294"/>
      <c r="N61" s="294"/>
      <c r="O61" s="294"/>
      <c r="P61" s="294"/>
      <c r="Q61" s="294"/>
      <c r="R61" s="294"/>
      <c r="S61" s="58">
        <f>AI59/AI5*100</f>
        <v>6.255782689123259E-3</v>
      </c>
      <c r="T61" s="59">
        <f>AI59/AI5*100</f>
        <v>6.255782689123259E-3</v>
      </c>
      <c r="U61" s="51" t="s">
        <v>39</v>
      </c>
      <c r="V61" s="341" t="e">
        <f>#REF!</f>
        <v>#REF!</v>
      </c>
      <c r="W61" s="342">
        <f>세출명세서!E279</f>
        <v>0</v>
      </c>
      <c r="X61" s="342">
        <f>세출명세서!F279</f>
        <v>45000</v>
      </c>
      <c r="Y61" s="341">
        <v>74000</v>
      </c>
      <c r="Z61" s="343">
        <v>120000</v>
      </c>
      <c r="AA61" s="344">
        <f>세출명세서!I279</f>
        <v>200000</v>
      </c>
      <c r="AB61" s="344">
        <f>세출명세서!J279</f>
        <v>200000</v>
      </c>
      <c r="AC61" s="341">
        <f>세출명세서!K279</f>
        <v>98000</v>
      </c>
      <c r="AD61" s="204">
        <f>세출명세서!L279</f>
        <v>460000</v>
      </c>
      <c r="AE61" s="204">
        <f>세출명세서!M279</f>
        <v>200000</v>
      </c>
      <c r="AF61" s="204">
        <v>661000</v>
      </c>
      <c r="AG61" s="204">
        <f>세출명세서!O279</f>
        <v>990000</v>
      </c>
      <c r="AH61" s="204">
        <f>세출명세서!P279</f>
        <v>990000</v>
      </c>
      <c r="AI61" s="204">
        <f>세출명세서!Q279</f>
        <v>200000</v>
      </c>
      <c r="AJ61" s="190">
        <f t="shared" si="11"/>
        <v>-790000</v>
      </c>
    </row>
    <row r="62" spans="1:36" s="284" customFormat="1" ht="22.5" customHeight="1">
      <c r="A62" s="286"/>
      <c r="B62" s="287"/>
      <c r="C62" s="603"/>
      <c r="D62" s="192"/>
      <c r="E62" s="604"/>
      <c r="F62" s="604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173"/>
      <c r="S62" s="605" t="s">
        <v>155</v>
      </c>
      <c r="T62" s="597" t="s">
        <v>167</v>
      </c>
      <c r="U62" s="60" t="s">
        <v>7</v>
      </c>
      <c r="V62" s="378" t="e">
        <f t="shared" ref="V62:AI62" si="35">V63</f>
        <v>#REF!</v>
      </c>
      <c r="W62" s="379">
        <f t="shared" si="35"/>
        <v>988000</v>
      </c>
      <c r="X62" s="379">
        <f t="shared" si="35"/>
        <v>2290000</v>
      </c>
      <c r="Y62" s="378">
        <f>Y63</f>
        <v>895000</v>
      </c>
      <c r="Z62" s="380">
        <f>Z63</f>
        <v>1341000</v>
      </c>
      <c r="AA62" s="381">
        <f t="shared" si="35"/>
        <v>653000</v>
      </c>
      <c r="AB62" s="381">
        <f t="shared" si="35"/>
        <v>1005000</v>
      </c>
      <c r="AC62" s="378">
        <f t="shared" si="35"/>
        <v>1487000</v>
      </c>
      <c r="AD62" s="209">
        <f t="shared" si="35"/>
        <v>1342000</v>
      </c>
      <c r="AE62" s="209">
        <f t="shared" si="35"/>
        <v>5971000</v>
      </c>
      <c r="AF62" s="209">
        <f t="shared" si="35"/>
        <v>23459000</v>
      </c>
      <c r="AG62" s="209">
        <f t="shared" si="35"/>
        <v>35296000</v>
      </c>
      <c r="AH62" s="209">
        <f t="shared" si="35"/>
        <v>18569000</v>
      </c>
      <c r="AI62" s="209">
        <f t="shared" si="35"/>
        <v>8427000</v>
      </c>
      <c r="AJ62" s="552">
        <f t="shared" si="11"/>
        <v>-10142000</v>
      </c>
    </row>
    <row r="63" spans="1:36" s="284" customFormat="1" ht="22.5" customHeight="1">
      <c r="A63" s="286"/>
      <c r="B63" s="287"/>
      <c r="C63" s="603"/>
      <c r="D63" s="192"/>
      <c r="E63" s="604"/>
      <c r="F63" s="604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173"/>
      <c r="S63" s="602"/>
      <c r="T63" s="598"/>
      <c r="U63" s="31" t="s">
        <v>11</v>
      </c>
      <c r="V63" s="345" t="e">
        <f t="shared" ref="V63:Z63" si="36">SUM(V64:V65)</f>
        <v>#REF!</v>
      </c>
      <c r="W63" s="346">
        <f t="shared" si="36"/>
        <v>988000</v>
      </c>
      <c r="X63" s="346">
        <f t="shared" si="36"/>
        <v>2290000</v>
      </c>
      <c r="Y63" s="345">
        <f t="shared" si="36"/>
        <v>895000</v>
      </c>
      <c r="Z63" s="347">
        <f t="shared" si="36"/>
        <v>1341000</v>
      </c>
      <c r="AA63" s="348">
        <f t="shared" ref="AA63:AI63" si="37">SUM(AA64:AA65)</f>
        <v>653000</v>
      </c>
      <c r="AB63" s="348">
        <f t="shared" si="37"/>
        <v>1005000</v>
      </c>
      <c r="AC63" s="345">
        <f t="shared" si="37"/>
        <v>1487000</v>
      </c>
      <c r="AD63" s="205">
        <f t="shared" si="37"/>
        <v>1342000</v>
      </c>
      <c r="AE63" s="205">
        <f t="shared" si="37"/>
        <v>5971000</v>
      </c>
      <c r="AF63" s="205">
        <f t="shared" si="37"/>
        <v>23459000</v>
      </c>
      <c r="AG63" s="205">
        <f t="shared" si="37"/>
        <v>35296000</v>
      </c>
      <c r="AH63" s="205">
        <f t="shared" ref="AH63" si="38">SUM(AH64:AH65)</f>
        <v>18569000</v>
      </c>
      <c r="AI63" s="205">
        <f t="shared" si="37"/>
        <v>8427000</v>
      </c>
      <c r="AJ63" s="552">
        <f t="shared" si="11"/>
        <v>-10142000</v>
      </c>
    </row>
    <row r="64" spans="1:36" s="231" customFormat="1" ht="22.5" customHeight="1">
      <c r="A64" s="286"/>
      <c r="B64" s="287"/>
      <c r="C64" s="603"/>
      <c r="D64" s="304"/>
      <c r="E64" s="604"/>
      <c r="F64" s="604"/>
      <c r="G64" s="305"/>
      <c r="H64" s="305"/>
      <c r="I64" s="305"/>
      <c r="J64" s="305"/>
      <c r="K64" s="305"/>
      <c r="L64" s="305"/>
      <c r="M64" s="305"/>
      <c r="N64" s="305"/>
      <c r="O64" s="305"/>
      <c r="P64" s="305"/>
      <c r="Q64" s="305"/>
      <c r="R64" s="173"/>
      <c r="S64" s="29">
        <f>AI62/AI5*100</f>
        <v>0.26358740360620853</v>
      </c>
      <c r="T64" s="32">
        <f>AI62/AI5*100</f>
        <v>0.26358740360620853</v>
      </c>
      <c r="U64" s="33" t="s">
        <v>9</v>
      </c>
      <c r="V64" s="341" t="e">
        <f>#REF!</f>
        <v>#REF!</v>
      </c>
      <c r="W64" s="342">
        <f>세출명세서!E280</f>
        <v>988000</v>
      </c>
      <c r="X64" s="342">
        <f>세출명세서!F280</f>
        <v>2290000</v>
      </c>
      <c r="Y64" s="341">
        <v>895000</v>
      </c>
      <c r="Z64" s="343">
        <v>1341000</v>
      </c>
      <c r="AA64" s="344">
        <f>세출명세서!I282</f>
        <v>487000</v>
      </c>
      <c r="AB64" s="344">
        <f>세출명세서!J282</f>
        <v>1005000</v>
      </c>
      <c r="AC64" s="341">
        <v>1487000</v>
      </c>
      <c r="AD64" s="204">
        <f>세출명세서!L280</f>
        <v>1342000</v>
      </c>
      <c r="AE64" s="204">
        <f>세출명세서!M280</f>
        <v>5971000</v>
      </c>
      <c r="AF64" s="204">
        <v>8509000</v>
      </c>
      <c r="AG64" s="204">
        <f>세출명세서!O282</f>
        <v>20346000</v>
      </c>
      <c r="AH64" s="204">
        <f>세출명세서!P282</f>
        <v>3619000</v>
      </c>
      <c r="AI64" s="204">
        <f>세출명세서!Q282</f>
        <v>8427000</v>
      </c>
      <c r="AJ64" s="190">
        <f t="shared" si="11"/>
        <v>4808000</v>
      </c>
    </row>
    <row r="65" spans="1:36" s="231" customFormat="1" ht="22.5" customHeight="1" thickBot="1">
      <c r="A65" s="289"/>
      <c r="B65" s="382"/>
      <c r="C65" s="383"/>
      <c r="D65" s="384"/>
      <c r="E65" s="383"/>
      <c r="F65" s="383"/>
      <c r="G65" s="383"/>
      <c r="H65" s="383"/>
      <c r="I65" s="383"/>
      <c r="J65" s="383"/>
      <c r="K65" s="383"/>
      <c r="L65" s="383"/>
      <c r="M65" s="383"/>
      <c r="N65" s="383"/>
      <c r="O65" s="383"/>
      <c r="P65" s="383"/>
      <c r="Q65" s="383"/>
      <c r="R65" s="383"/>
      <c r="S65" s="61"/>
      <c r="T65" s="62"/>
      <c r="U65" s="63" t="s">
        <v>152</v>
      </c>
      <c r="V65" s="385" t="e">
        <f>#REF!</f>
        <v>#REF!</v>
      </c>
      <c r="W65" s="386">
        <v>0</v>
      </c>
      <c r="X65" s="386">
        <v>0</v>
      </c>
      <c r="Y65" s="385">
        <f>세출명세서!F283</f>
        <v>0</v>
      </c>
      <c r="Z65" s="387">
        <f>세출명세서!H283</f>
        <v>0</v>
      </c>
      <c r="AA65" s="388">
        <f>세출명세서!I283</f>
        <v>166000</v>
      </c>
      <c r="AB65" s="388">
        <f>세출명세서!J283</f>
        <v>0</v>
      </c>
      <c r="AC65" s="385">
        <f>세출명세서!J283</f>
        <v>0</v>
      </c>
      <c r="AD65" s="210">
        <f>세출명세서!L283</f>
        <v>0</v>
      </c>
      <c r="AE65" s="210">
        <f>세출명세서!M283</f>
        <v>0</v>
      </c>
      <c r="AF65" s="210">
        <v>14950000</v>
      </c>
      <c r="AG65" s="210">
        <f>세출명세서!O283</f>
        <v>14950000</v>
      </c>
      <c r="AH65" s="210">
        <f>세출명세서!P283</f>
        <v>14950000</v>
      </c>
      <c r="AI65" s="210">
        <f>세출명세서!Q283</f>
        <v>0</v>
      </c>
      <c r="AJ65" s="190">
        <f>AI65-AH65</f>
        <v>-14950000</v>
      </c>
    </row>
    <row r="66" spans="1:36" s="231" customFormat="1" ht="22.5" customHeight="1">
      <c r="A66" s="389"/>
      <c r="B66" s="390"/>
      <c r="C66" s="391"/>
      <c r="D66" s="392"/>
      <c r="E66" s="391"/>
      <c r="F66" s="391"/>
      <c r="G66" s="391"/>
      <c r="H66" s="391"/>
      <c r="I66" s="391"/>
      <c r="J66" s="391"/>
      <c r="K66" s="391"/>
      <c r="L66" s="391"/>
      <c r="M66" s="391"/>
      <c r="N66" s="391"/>
      <c r="O66" s="391"/>
      <c r="P66" s="391"/>
      <c r="Q66" s="391"/>
      <c r="R66" s="391"/>
      <c r="S66" s="393"/>
      <c r="T66" s="393"/>
      <c r="U66" s="394"/>
      <c r="V66" s="394"/>
      <c r="W66" s="395"/>
      <c r="X66" s="395"/>
      <c r="Y66" s="395"/>
      <c r="Z66" s="395"/>
      <c r="AA66" s="395"/>
      <c r="AB66" s="395"/>
      <c r="AC66" s="395"/>
      <c r="AD66" s="395"/>
      <c r="AE66" s="395"/>
      <c r="AF66" s="395"/>
      <c r="AG66" s="395"/>
      <c r="AH66" s="395"/>
      <c r="AI66" s="395"/>
      <c r="AJ66" s="396"/>
    </row>
    <row r="67" spans="1:36" s="231" customFormat="1" ht="22.5" customHeight="1">
      <c r="A67" s="192"/>
      <c r="B67" s="165"/>
      <c r="C67" s="305"/>
      <c r="D67" s="288"/>
      <c r="E67" s="305"/>
      <c r="F67" s="305"/>
      <c r="G67" s="305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5"/>
      <c r="S67" s="13"/>
      <c r="T67" s="13"/>
      <c r="U67" s="14"/>
      <c r="V67" s="14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284"/>
    </row>
    <row r="68" spans="1:36" s="231" customFormat="1" ht="22.5" customHeight="1">
      <c r="A68" s="192"/>
      <c r="B68" s="165"/>
      <c r="C68" s="305"/>
      <c r="D68" s="288"/>
      <c r="E68" s="305"/>
      <c r="F68" s="305"/>
      <c r="G68" s="305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5"/>
      <c r="S68" s="13"/>
      <c r="T68" s="397"/>
      <c r="U68" s="397"/>
      <c r="V68" s="397"/>
      <c r="W68" s="398"/>
      <c r="X68" s="398"/>
      <c r="Y68" s="398"/>
      <c r="Z68" s="398"/>
      <c r="AA68" s="398"/>
      <c r="AB68" s="398"/>
      <c r="AC68" s="398"/>
      <c r="AD68" s="398"/>
      <c r="AE68" s="398"/>
      <c r="AF68" s="398"/>
      <c r="AG68" s="398"/>
      <c r="AH68" s="398"/>
      <c r="AI68" s="398"/>
      <c r="AJ68" s="284"/>
    </row>
    <row r="69" spans="1:36" s="231" customFormat="1" ht="22.5" customHeight="1">
      <c r="A69" s="192"/>
      <c r="B69" s="165"/>
      <c r="C69" s="305"/>
      <c r="D69" s="288"/>
      <c r="E69" s="305"/>
      <c r="F69" s="305"/>
      <c r="G69" s="305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5"/>
      <c r="S69" s="397"/>
      <c r="T69" s="397"/>
      <c r="U69" s="397"/>
      <c r="V69" s="397"/>
      <c r="W69" s="398"/>
      <c r="X69" s="398"/>
      <c r="Y69" s="398"/>
      <c r="Z69" s="398"/>
      <c r="AA69" s="398"/>
      <c r="AB69" s="398"/>
      <c r="AC69" s="398"/>
      <c r="AD69" s="398"/>
      <c r="AE69" s="398"/>
      <c r="AF69" s="398"/>
      <c r="AG69" s="398"/>
      <c r="AH69" s="398"/>
      <c r="AI69" s="398"/>
      <c r="AJ69" s="284"/>
    </row>
    <row r="70" spans="1:36" s="231" customFormat="1" ht="22.5" customHeight="1">
      <c r="A70" s="192"/>
      <c r="B70" s="165"/>
      <c r="C70" s="305"/>
      <c r="D70" s="288"/>
      <c r="E70" s="305"/>
      <c r="F70" s="305"/>
      <c r="G70" s="305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5"/>
      <c r="S70" s="397"/>
      <c r="T70" s="397"/>
      <c r="U70" s="397"/>
      <c r="V70" s="397"/>
      <c r="W70" s="398"/>
      <c r="X70" s="398"/>
      <c r="Y70" s="398"/>
      <c r="Z70" s="398"/>
      <c r="AA70" s="398"/>
      <c r="AB70" s="398"/>
      <c r="AC70" s="398"/>
      <c r="AD70" s="398"/>
      <c r="AE70" s="398"/>
      <c r="AF70" s="398"/>
      <c r="AG70" s="398"/>
      <c r="AH70" s="398"/>
      <c r="AI70" s="398"/>
      <c r="AJ70" s="284"/>
    </row>
    <row r="71" spans="1:36" s="231" customFormat="1" ht="22.5" customHeight="1">
      <c r="A71" s="192"/>
      <c r="B71" s="165"/>
      <c r="C71" s="305"/>
      <c r="D71" s="288"/>
      <c r="E71" s="305"/>
      <c r="F71" s="305"/>
      <c r="G71" s="305"/>
      <c r="H71" s="305"/>
      <c r="I71" s="305"/>
      <c r="J71" s="305"/>
      <c r="K71" s="305"/>
      <c r="L71" s="305"/>
      <c r="M71" s="305"/>
      <c r="N71" s="305"/>
      <c r="O71" s="305"/>
      <c r="P71" s="305"/>
      <c r="Q71" s="305"/>
      <c r="R71" s="305"/>
      <c r="S71" s="397"/>
      <c r="T71" s="397"/>
      <c r="U71" s="397"/>
      <c r="V71" s="397"/>
      <c r="W71" s="398"/>
      <c r="X71" s="398"/>
      <c r="Y71" s="398"/>
      <c r="Z71" s="398"/>
      <c r="AA71" s="398"/>
      <c r="AB71" s="398"/>
      <c r="AC71" s="398"/>
      <c r="AD71" s="398"/>
      <c r="AE71" s="398"/>
      <c r="AF71" s="398"/>
      <c r="AG71" s="398"/>
      <c r="AH71" s="398"/>
      <c r="AI71" s="398"/>
    </row>
    <row r="72" spans="1:36" s="231" customFormat="1" ht="24" customHeight="1">
      <c r="A72" s="192"/>
      <c r="B72" s="165"/>
      <c r="C72" s="305"/>
      <c r="D72" s="288"/>
      <c r="E72" s="305"/>
      <c r="F72" s="305"/>
      <c r="G72" s="305"/>
      <c r="H72" s="305"/>
      <c r="I72" s="305"/>
      <c r="J72" s="305"/>
      <c r="K72" s="305"/>
      <c r="L72" s="305"/>
      <c r="M72" s="305"/>
      <c r="N72" s="305"/>
      <c r="O72" s="305"/>
      <c r="P72" s="305"/>
      <c r="Q72" s="305"/>
      <c r="R72" s="305"/>
      <c r="S72" s="397"/>
      <c r="T72" s="397"/>
      <c r="U72" s="397"/>
      <c r="V72" s="397"/>
      <c r="W72" s="398"/>
      <c r="X72" s="398"/>
      <c r="Y72" s="398"/>
      <c r="Z72" s="398"/>
      <c r="AA72" s="398"/>
      <c r="AB72" s="398"/>
      <c r="AC72" s="398"/>
      <c r="AD72" s="398"/>
      <c r="AE72" s="398"/>
      <c r="AF72" s="398"/>
      <c r="AG72" s="398"/>
      <c r="AH72" s="398"/>
      <c r="AI72" s="398"/>
    </row>
    <row r="73" spans="1:36" s="284" customFormat="1" ht="22.5" customHeight="1">
      <c r="A73" s="192"/>
      <c r="B73" s="165"/>
      <c r="C73" s="305"/>
      <c r="D73" s="288"/>
      <c r="E73" s="305"/>
      <c r="F73" s="305"/>
      <c r="G73" s="305"/>
      <c r="H73" s="305"/>
      <c r="I73" s="305"/>
      <c r="J73" s="305"/>
      <c r="K73" s="305"/>
      <c r="L73" s="305"/>
      <c r="M73" s="305"/>
      <c r="N73" s="305"/>
      <c r="O73" s="305"/>
      <c r="P73" s="305"/>
      <c r="Q73" s="305"/>
      <c r="R73" s="305"/>
      <c r="S73" s="397"/>
      <c r="T73" s="397"/>
      <c r="U73" s="397"/>
      <c r="V73" s="397"/>
      <c r="W73" s="398"/>
      <c r="X73" s="398"/>
      <c r="Y73" s="398"/>
      <c r="Z73" s="398"/>
      <c r="AA73" s="398"/>
      <c r="AB73" s="398"/>
      <c r="AC73" s="398"/>
      <c r="AD73" s="398"/>
      <c r="AE73" s="398"/>
      <c r="AF73" s="398"/>
      <c r="AG73" s="398"/>
      <c r="AH73" s="398"/>
      <c r="AI73" s="398"/>
      <c r="AJ73" s="21"/>
    </row>
    <row r="74" spans="1:36" s="21" customFormat="1">
      <c r="A74" s="290"/>
      <c r="B74" s="290"/>
      <c r="C74" s="290"/>
      <c r="D74" s="29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397"/>
      <c r="T74" s="397"/>
      <c r="U74" s="397"/>
      <c r="V74" s="397"/>
      <c r="W74" s="398"/>
      <c r="X74" s="398"/>
      <c r="Y74" s="398"/>
      <c r="Z74" s="398"/>
      <c r="AA74" s="398"/>
      <c r="AB74" s="398"/>
      <c r="AC74" s="398"/>
      <c r="AD74" s="398"/>
      <c r="AE74" s="398"/>
      <c r="AF74" s="398"/>
      <c r="AG74" s="398"/>
      <c r="AH74" s="398"/>
      <c r="AI74" s="398"/>
    </row>
    <row r="75" spans="1:36" s="21" customFormat="1">
      <c r="A75" s="290"/>
      <c r="B75" s="290"/>
      <c r="C75" s="290"/>
      <c r="D75" s="29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397"/>
      <c r="T75" s="397"/>
      <c r="U75" s="397"/>
      <c r="V75" s="397"/>
      <c r="W75" s="398"/>
      <c r="X75" s="398"/>
      <c r="Y75" s="398"/>
      <c r="Z75" s="398"/>
      <c r="AA75" s="398"/>
      <c r="AB75" s="398"/>
      <c r="AC75" s="398"/>
      <c r="AD75" s="398"/>
      <c r="AE75" s="398"/>
      <c r="AF75" s="398"/>
      <c r="AG75" s="398"/>
      <c r="AH75" s="398"/>
      <c r="AI75" s="398"/>
    </row>
    <row r="76" spans="1:36" s="21" customFormat="1">
      <c r="A76" s="290"/>
      <c r="B76" s="290"/>
      <c r="C76" s="290"/>
      <c r="D76" s="29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397"/>
      <c r="T76" s="397"/>
      <c r="U76" s="397"/>
      <c r="V76" s="397"/>
      <c r="W76" s="398"/>
      <c r="X76" s="398"/>
      <c r="Y76" s="398"/>
      <c r="Z76" s="398"/>
      <c r="AA76" s="398"/>
      <c r="AB76" s="398"/>
      <c r="AC76" s="398"/>
      <c r="AD76" s="398"/>
      <c r="AE76" s="398"/>
      <c r="AF76" s="398"/>
      <c r="AG76" s="398"/>
      <c r="AH76" s="398"/>
      <c r="AI76" s="398"/>
    </row>
    <row r="77" spans="1:36" s="21" customFormat="1">
      <c r="A77" s="290"/>
      <c r="B77" s="290"/>
      <c r="C77" s="290"/>
      <c r="D77" s="29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397"/>
      <c r="T77" s="397"/>
      <c r="U77" s="397"/>
      <c r="V77" s="397"/>
      <c r="W77" s="398"/>
      <c r="X77" s="398"/>
      <c r="Y77" s="398"/>
      <c r="Z77" s="398"/>
      <c r="AA77" s="398"/>
      <c r="AB77" s="398"/>
      <c r="AC77" s="398"/>
      <c r="AD77" s="398"/>
      <c r="AE77" s="398"/>
      <c r="AF77" s="398"/>
      <c r="AG77" s="398"/>
      <c r="AH77" s="398"/>
      <c r="AI77" s="398"/>
    </row>
    <row r="78" spans="1:36" s="21" customFormat="1">
      <c r="A78" s="290"/>
      <c r="B78" s="290"/>
      <c r="C78" s="290"/>
      <c r="D78" s="29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397"/>
      <c r="T78" s="397"/>
      <c r="U78" s="397"/>
      <c r="V78" s="397"/>
      <c r="W78" s="398"/>
      <c r="X78" s="398"/>
      <c r="Y78" s="398"/>
      <c r="Z78" s="398"/>
      <c r="AA78" s="398"/>
      <c r="AB78" s="398"/>
      <c r="AC78" s="398"/>
      <c r="AD78" s="398"/>
      <c r="AE78" s="398"/>
      <c r="AF78" s="398"/>
      <c r="AG78" s="398"/>
      <c r="AH78" s="398"/>
      <c r="AI78" s="398"/>
    </row>
    <row r="79" spans="1:36" s="21" customFormat="1">
      <c r="A79" s="290"/>
      <c r="B79" s="290"/>
      <c r="C79" s="290"/>
      <c r="D79" s="29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397"/>
      <c r="T79" s="399"/>
      <c r="U79" s="399"/>
      <c r="V79" s="399"/>
      <c r="W79" s="400"/>
      <c r="X79" s="400"/>
      <c r="Y79" s="400"/>
      <c r="Z79" s="400"/>
      <c r="AA79" s="400"/>
      <c r="AB79" s="400"/>
      <c r="AC79" s="400"/>
      <c r="AD79" s="400"/>
      <c r="AE79" s="400"/>
      <c r="AF79" s="400"/>
      <c r="AG79" s="400"/>
      <c r="AH79" s="400"/>
      <c r="AI79" s="400"/>
    </row>
    <row r="80" spans="1:36" s="21" customFormat="1">
      <c r="A80" s="290"/>
      <c r="B80" s="290"/>
      <c r="C80" s="290"/>
      <c r="D80" s="29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397"/>
      <c r="T80" s="399"/>
      <c r="U80" s="399"/>
      <c r="V80" s="399"/>
      <c r="W80" s="400"/>
      <c r="X80" s="400"/>
      <c r="Y80" s="400"/>
      <c r="Z80" s="400"/>
      <c r="AA80" s="400"/>
      <c r="AB80" s="400"/>
      <c r="AC80" s="400"/>
      <c r="AD80" s="400"/>
      <c r="AE80" s="400"/>
      <c r="AF80" s="400"/>
      <c r="AG80" s="400"/>
      <c r="AH80" s="400"/>
      <c r="AI80" s="400"/>
    </row>
    <row r="81" spans="1:36" s="21" customFormat="1">
      <c r="A81" s="290"/>
      <c r="B81" s="290"/>
      <c r="C81" s="290"/>
      <c r="D81" s="29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399"/>
      <c r="T81" s="399"/>
      <c r="U81" s="399"/>
      <c r="V81" s="399"/>
      <c r="W81" s="400"/>
      <c r="X81" s="400"/>
      <c r="Y81" s="400"/>
      <c r="Z81" s="400"/>
      <c r="AA81" s="400"/>
      <c r="AB81" s="400"/>
      <c r="AC81" s="400"/>
      <c r="AD81" s="400"/>
      <c r="AE81" s="400"/>
      <c r="AF81" s="400"/>
      <c r="AG81" s="400"/>
      <c r="AH81" s="400"/>
      <c r="AI81" s="400"/>
    </row>
    <row r="82" spans="1:36" s="21" customFormat="1">
      <c r="A82" s="290"/>
      <c r="B82" s="290"/>
      <c r="C82" s="290"/>
      <c r="D82" s="29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399"/>
      <c r="T82" s="399"/>
      <c r="U82" s="399"/>
      <c r="V82" s="399"/>
      <c r="W82" s="400"/>
      <c r="X82" s="400"/>
      <c r="Y82" s="400"/>
      <c r="Z82" s="400"/>
      <c r="AA82" s="400"/>
      <c r="AB82" s="400"/>
      <c r="AC82" s="400"/>
      <c r="AD82" s="400"/>
      <c r="AE82" s="400"/>
      <c r="AF82" s="400"/>
      <c r="AG82" s="400"/>
      <c r="AH82" s="400"/>
      <c r="AI82" s="400"/>
    </row>
    <row r="83" spans="1:36" s="21" customFormat="1">
      <c r="A83" s="290"/>
      <c r="B83" s="290"/>
      <c r="C83" s="290"/>
      <c r="D83" s="29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399"/>
      <c r="T83" s="399"/>
      <c r="U83" s="399"/>
      <c r="V83" s="399"/>
      <c r="W83" s="400"/>
      <c r="X83" s="400"/>
      <c r="Y83" s="400"/>
      <c r="Z83" s="400"/>
      <c r="AA83" s="400"/>
      <c r="AB83" s="400"/>
      <c r="AC83" s="400"/>
      <c r="AD83" s="400"/>
      <c r="AE83" s="400"/>
      <c r="AF83" s="400"/>
      <c r="AG83" s="400"/>
      <c r="AH83" s="400"/>
      <c r="AI83" s="400"/>
    </row>
    <row r="84" spans="1:36" s="21" customFormat="1">
      <c r="A84" s="290"/>
      <c r="B84" s="290"/>
      <c r="C84" s="290"/>
      <c r="D84" s="29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399"/>
      <c r="T84" s="399"/>
      <c r="U84" s="399"/>
      <c r="V84" s="399"/>
      <c r="W84" s="400"/>
      <c r="X84" s="400"/>
      <c r="Y84" s="400"/>
      <c r="Z84" s="400"/>
      <c r="AA84" s="400"/>
      <c r="AB84" s="400"/>
      <c r="AC84" s="400"/>
      <c r="AD84" s="400"/>
      <c r="AE84" s="400"/>
      <c r="AF84" s="400"/>
      <c r="AG84" s="400"/>
      <c r="AH84" s="400"/>
      <c r="AI84" s="400"/>
    </row>
    <row r="85" spans="1:36" s="21" customFormat="1">
      <c r="A85" s="290"/>
      <c r="B85" s="290"/>
      <c r="C85" s="290"/>
      <c r="D85" s="29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399"/>
      <c r="T85" s="399"/>
      <c r="U85" s="399"/>
      <c r="V85" s="399"/>
      <c r="W85" s="400"/>
      <c r="X85" s="400"/>
      <c r="Y85" s="400"/>
      <c r="Z85" s="400"/>
      <c r="AA85" s="400"/>
      <c r="AB85" s="400"/>
      <c r="AC85" s="400"/>
      <c r="AD85" s="400"/>
      <c r="AE85" s="400"/>
      <c r="AF85" s="400"/>
      <c r="AG85" s="400"/>
      <c r="AH85" s="400"/>
      <c r="AI85" s="400"/>
    </row>
    <row r="86" spans="1:36" s="21" customFormat="1">
      <c r="A86" s="290"/>
      <c r="B86" s="290"/>
      <c r="C86" s="290"/>
      <c r="D86" s="29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399"/>
      <c r="T86" s="399"/>
      <c r="U86" s="399"/>
      <c r="V86" s="399"/>
      <c r="W86" s="400"/>
      <c r="X86" s="400"/>
      <c r="Y86" s="400"/>
      <c r="Z86" s="400"/>
      <c r="AA86" s="400"/>
      <c r="AB86" s="400"/>
      <c r="AC86" s="400"/>
      <c r="AD86" s="400"/>
      <c r="AE86" s="400"/>
      <c r="AF86" s="400"/>
      <c r="AG86" s="400"/>
      <c r="AH86" s="400"/>
      <c r="AI86" s="400"/>
    </row>
    <row r="87" spans="1:36" s="21" customFormat="1">
      <c r="A87" s="290"/>
      <c r="B87" s="290"/>
      <c r="C87" s="290"/>
      <c r="D87" s="29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399"/>
      <c r="T87" s="399"/>
      <c r="U87" s="399"/>
      <c r="V87" s="399"/>
      <c r="W87" s="400"/>
      <c r="X87" s="400"/>
      <c r="Y87" s="400"/>
      <c r="Z87" s="400"/>
      <c r="AA87" s="400"/>
      <c r="AB87" s="400"/>
      <c r="AC87" s="400"/>
      <c r="AD87" s="400"/>
      <c r="AE87" s="400"/>
      <c r="AF87" s="400"/>
      <c r="AG87" s="400"/>
      <c r="AH87" s="400"/>
      <c r="AI87" s="400"/>
    </row>
    <row r="88" spans="1:36" s="21" customFormat="1">
      <c r="A88" s="290"/>
      <c r="B88" s="290"/>
      <c r="C88" s="290"/>
      <c r="D88" s="29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399"/>
      <c r="T88" s="399"/>
      <c r="U88" s="399"/>
      <c r="V88" s="399"/>
      <c r="W88" s="400"/>
      <c r="X88" s="400"/>
      <c r="Y88" s="400"/>
      <c r="Z88" s="400"/>
      <c r="AA88" s="400"/>
      <c r="AB88" s="400"/>
      <c r="AC88" s="400"/>
      <c r="AD88" s="400"/>
      <c r="AE88" s="400"/>
      <c r="AF88" s="400"/>
      <c r="AG88" s="400"/>
      <c r="AH88" s="400"/>
      <c r="AI88" s="400"/>
    </row>
    <row r="89" spans="1:36" s="21" customFormat="1">
      <c r="A89" s="290"/>
      <c r="B89" s="290"/>
      <c r="C89" s="290"/>
      <c r="D89" s="29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399"/>
      <c r="T89" s="399"/>
      <c r="U89" s="399"/>
      <c r="V89" s="399"/>
      <c r="W89" s="400"/>
      <c r="X89" s="400"/>
      <c r="Y89" s="400"/>
      <c r="Z89" s="400"/>
      <c r="AA89" s="400"/>
      <c r="AB89" s="400"/>
      <c r="AC89" s="400"/>
      <c r="AD89" s="400"/>
      <c r="AE89" s="400"/>
      <c r="AF89" s="400"/>
      <c r="AG89" s="400"/>
      <c r="AH89" s="400"/>
      <c r="AI89" s="400"/>
    </row>
    <row r="90" spans="1:36" s="21" customFormat="1">
      <c r="A90" s="290"/>
      <c r="B90" s="290"/>
      <c r="C90" s="290"/>
      <c r="D90" s="29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399"/>
      <c r="T90" s="399"/>
      <c r="U90" s="399"/>
      <c r="V90" s="399"/>
      <c r="W90" s="400"/>
      <c r="X90" s="400"/>
      <c r="Y90" s="400"/>
      <c r="Z90" s="400"/>
      <c r="AA90" s="400"/>
      <c r="AB90" s="400"/>
      <c r="AC90" s="400"/>
      <c r="AD90" s="400"/>
      <c r="AE90" s="400"/>
      <c r="AF90" s="400"/>
      <c r="AG90" s="400"/>
      <c r="AH90" s="400"/>
      <c r="AI90" s="400"/>
    </row>
    <row r="91" spans="1:36" s="21" customFormat="1">
      <c r="A91" s="290"/>
      <c r="B91" s="290"/>
      <c r="C91" s="290"/>
      <c r="D91" s="29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399"/>
      <c r="T91" s="399"/>
      <c r="U91" s="399"/>
      <c r="V91" s="399"/>
      <c r="W91" s="400"/>
      <c r="X91" s="400"/>
      <c r="Y91" s="400"/>
      <c r="Z91" s="400"/>
      <c r="AA91" s="400"/>
      <c r="AB91" s="400"/>
      <c r="AC91" s="400"/>
      <c r="AD91" s="400"/>
      <c r="AE91" s="400"/>
      <c r="AF91" s="400"/>
      <c r="AG91" s="400"/>
      <c r="AH91" s="400"/>
      <c r="AI91" s="400"/>
    </row>
    <row r="92" spans="1:36" s="21" customFormat="1">
      <c r="A92" s="290"/>
      <c r="B92" s="290"/>
      <c r="C92" s="290"/>
      <c r="D92" s="29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399"/>
      <c r="T92" s="399"/>
      <c r="U92" s="399"/>
      <c r="V92" s="399"/>
      <c r="W92" s="400"/>
      <c r="X92" s="400"/>
      <c r="Y92" s="400"/>
      <c r="Z92" s="400"/>
      <c r="AA92" s="400"/>
      <c r="AB92" s="400"/>
      <c r="AC92" s="400"/>
      <c r="AD92" s="400"/>
      <c r="AE92" s="400"/>
      <c r="AF92" s="400"/>
      <c r="AG92" s="400"/>
      <c r="AH92" s="400"/>
      <c r="AI92" s="400"/>
    </row>
    <row r="93" spans="1:36" s="21" customFormat="1">
      <c r="A93" s="290"/>
      <c r="B93" s="290"/>
      <c r="C93" s="290"/>
      <c r="D93" s="29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399"/>
      <c r="T93" s="399"/>
      <c r="U93" s="399"/>
      <c r="V93" s="399"/>
      <c r="W93" s="400"/>
      <c r="X93" s="400"/>
      <c r="Y93" s="400"/>
      <c r="Z93" s="400"/>
      <c r="AA93" s="400"/>
      <c r="AB93" s="400"/>
      <c r="AC93" s="400"/>
      <c r="AD93" s="400"/>
      <c r="AE93" s="400"/>
      <c r="AF93" s="400"/>
      <c r="AG93" s="400"/>
      <c r="AH93" s="400"/>
      <c r="AI93" s="400"/>
    </row>
    <row r="94" spans="1:36" s="21" customFormat="1">
      <c r="A94" s="290"/>
      <c r="B94" s="290"/>
      <c r="C94" s="290"/>
      <c r="D94" s="29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399"/>
      <c r="T94" s="399"/>
      <c r="U94" s="399"/>
      <c r="V94" s="399"/>
      <c r="W94" s="400"/>
      <c r="X94" s="400"/>
      <c r="Y94" s="400"/>
      <c r="Z94" s="400"/>
      <c r="AA94" s="400"/>
      <c r="AB94" s="400"/>
      <c r="AC94" s="400"/>
      <c r="AD94" s="400"/>
      <c r="AE94" s="400"/>
      <c r="AF94" s="400"/>
      <c r="AG94" s="400"/>
      <c r="AH94" s="400"/>
      <c r="AI94" s="400"/>
    </row>
    <row r="95" spans="1:36" s="21" customFormat="1">
      <c r="A95" s="290"/>
      <c r="B95" s="290"/>
      <c r="C95" s="290"/>
      <c r="D95" s="29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399"/>
      <c r="T95" s="399"/>
      <c r="U95" s="399"/>
      <c r="V95" s="399"/>
      <c r="W95" s="400"/>
      <c r="X95" s="400"/>
      <c r="Y95" s="400"/>
      <c r="Z95" s="400"/>
      <c r="AA95" s="400"/>
      <c r="AB95" s="400"/>
      <c r="AC95" s="400"/>
      <c r="AD95" s="400"/>
      <c r="AE95" s="400"/>
      <c r="AF95" s="400"/>
      <c r="AG95" s="400"/>
      <c r="AH95" s="400"/>
      <c r="AI95" s="400"/>
    </row>
    <row r="96" spans="1:36" s="21" customFormat="1">
      <c r="A96" s="290"/>
      <c r="B96" s="290"/>
      <c r="C96" s="290"/>
      <c r="D96" s="29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399"/>
      <c r="T96" s="399"/>
      <c r="U96" s="399"/>
      <c r="V96" s="399"/>
      <c r="W96" s="400"/>
      <c r="X96" s="400"/>
      <c r="Y96" s="400"/>
      <c r="Z96" s="400"/>
      <c r="AA96" s="400"/>
      <c r="AB96" s="400"/>
      <c r="AC96" s="400"/>
      <c r="AD96" s="400"/>
      <c r="AE96" s="400"/>
      <c r="AF96" s="400"/>
      <c r="AG96" s="400"/>
      <c r="AH96" s="400"/>
      <c r="AI96" s="400"/>
      <c r="AJ96"/>
    </row>
    <row r="97" spans="1:36" s="21" customFormat="1">
      <c r="E97" s="401"/>
      <c r="F97" s="401"/>
      <c r="G97" s="401"/>
      <c r="H97" s="401"/>
      <c r="I97" s="401"/>
      <c r="J97" s="401"/>
      <c r="K97" s="401"/>
      <c r="L97" s="401"/>
      <c r="M97" s="401"/>
      <c r="N97" s="401"/>
      <c r="O97" s="401"/>
      <c r="P97" s="401"/>
      <c r="Q97" s="401"/>
      <c r="R97" s="401"/>
      <c r="S97" s="399"/>
      <c r="T97" s="399"/>
      <c r="U97" s="399"/>
      <c r="V97" s="399"/>
      <c r="W97" s="400"/>
      <c r="X97" s="400"/>
      <c r="Y97" s="400"/>
      <c r="Z97" s="400"/>
      <c r="AA97" s="400"/>
      <c r="AB97" s="400"/>
      <c r="AC97" s="400"/>
      <c r="AD97" s="400"/>
      <c r="AE97" s="400"/>
      <c r="AF97" s="400"/>
      <c r="AG97" s="400"/>
      <c r="AH97" s="400"/>
      <c r="AI97" s="400"/>
      <c r="AJ97"/>
    </row>
    <row r="98" spans="1:36" s="21" customFormat="1">
      <c r="E98" s="401"/>
      <c r="F98" s="401"/>
      <c r="G98" s="401"/>
      <c r="H98" s="401"/>
      <c r="I98" s="401"/>
      <c r="J98" s="401"/>
      <c r="K98" s="401"/>
      <c r="L98" s="401"/>
      <c r="M98" s="401"/>
      <c r="N98" s="401"/>
      <c r="O98" s="401"/>
      <c r="P98" s="401"/>
      <c r="Q98" s="401"/>
      <c r="R98" s="401"/>
      <c r="S98" s="399"/>
      <c r="T98" s="399"/>
      <c r="U98" s="399"/>
      <c r="V98" s="399"/>
      <c r="W98" s="400"/>
      <c r="X98" s="400"/>
      <c r="Y98" s="400"/>
      <c r="Z98" s="400"/>
      <c r="AA98" s="400"/>
      <c r="AB98" s="400"/>
      <c r="AC98" s="400"/>
      <c r="AD98" s="400"/>
      <c r="AE98" s="400"/>
      <c r="AF98" s="400"/>
      <c r="AG98" s="400"/>
      <c r="AH98" s="400"/>
      <c r="AI98" s="400"/>
      <c r="AJ98"/>
    </row>
    <row r="99" spans="1:36" s="21" customFormat="1">
      <c r="E99" s="401"/>
      <c r="F99" s="401"/>
      <c r="G99" s="401"/>
      <c r="H99" s="401"/>
      <c r="I99" s="401"/>
      <c r="J99" s="401"/>
      <c r="K99" s="401"/>
      <c r="L99" s="401"/>
      <c r="M99" s="401"/>
      <c r="N99" s="401"/>
      <c r="O99" s="401"/>
      <c r="P99" s="401"/>
      <c r="Q99" s="401"/>
      <c r="R99" s="401"/>
      <c r="S99" s="399"/>
      <c r="T99" s="399"/>
      <c r="U99" s="399"/>
      <c r="V99" s="399"/>
      <c r="W99" s="400"/>
      <c r="X99" s="400"/>
      <c r="Y99" s="400"/>
      <c r="Z99" s="400"/>
      <c r="AA99" s="400"/>
      <c r="AB99" s="400"/>
      <c r="AC99" s="400"/>
      <c r="AD99" s="400"/>
      <c r="AE99" s="400"/>
      <c r="AF99" s="400"/>
      <c r="AG99" s="400"/>
      <c r="AH99" s="400"/>
      <c r="AI99" s="400"/>
      <c r="AJ99"/>
    </row>
    <row r="100" spans="1:36" s="21" customFormat="1">
      <c r="E100" s="401"/>
      <c r="F100" s="401"/>
      <c r="G100" s="401"/>
      <c r="H100" s="401"/>
      <c r="I100" s="401"/>
      <c r="J100" s="401"/>
      <c r="K100" s="401"/>
      <c r="L100" s="401"/>
      <c r="M100" s="401"/>
      <c r="N100" s="401"/>
      <c r="O100" s="401"/>
      <c r="P100" s="401"/>
      <c r="Q100" s="401"/>
      <c r="R100" s="401"/>
      <c r="S100" s="399"/>
      <c r="T100" s="399"/>
      <c r="U100" s="399"/>
      <c r="V100" s="399"/>
      <c r="W100" s="400"/>
      <c r="X100" s="400"/>
      <c r="Y100" s="400"/>
      <c r="Z100" s="400"/>
      <c r="AA100" s="400"/>
      <c r="AB100" s="400"/>
      <c r="AC100" s="400"/>
      <c r="AD100" s="400"/>
      <c r="AE100" s="400"/>
      <c r="AF100" s="400"/>
      <c r="AG100" s="400"/>
      <c r="AH100" s="400"/>
      <c r="AI100" s="400"/>
      <c r="AJ100"/>
    </row>
    <row r="101" spans="1:36" s="21" customFormat="1">
      <c r="E101" s="401"/>
      <c r="F101" s="401"/>
      <c r="G101" s="401"/>
      <c r="H101" s="401"/>
      <c r="I101" s="401"/>
      <c r="J101" s="401"/>
      <c r="K101" s="401"/>
      <c r="L101" s="401"/>
      <c r="M101" s="401"/>
      <c r="N101" s="401"/>
      <c r="O101" s="401"/>
      <c r="P101" s="401"/>
      <c r="Q101" s="401"/>
      <c r="R101" s="401"/>
      <c r="S101" s="399"/>
      <c r="T101" s="399"/>
      <c r="U101" s="399"/>
      <c r="V101" s="399"/>
      <c r="W101" s="400"/>
      <c r="X101" s="400"/>
      <c r="Y101" s="400"/>
      <c r="Z101" s="400"/>
      <c r="AA101" s="400"/>
      <c r="AB101" s="400"/>
      <c r="AC101" s="400"/>
      <c r="AD101" s="400"/>
      <c r="AE101" s="400"/>
      <c r="AF101" s="400"/>
      <c r="AG101" s="400"/>
      <c r="AH101" s="400"/>
      <c r="AI101" s="400"/>
      <c r="AJ101"/>
    </row>
    <row r="102" spans="1:36" s="21" customFormat="1">
      <c r="E102" s="401"/>
      <c r="F102" s="401"/>
      <c r="G102" s="401"/>
      <c r="H102" s="401"/>
      <c r="I102" s="401"/>
      <c r="J102" s="401"/>
      <c r="K102" s="401"/>
      <c r="L102" s="401"/>
      <c r="M102" s="401"/>
      <c r="N102" s="401"/>
      <c r="O102" s="401"/>
      <c r="P102" s="401"/>
      <c r="Q102" s="401"/>
      <c r="R102" s="401"/>
      <c r="S102" s="399"/>
      <c r="T102" s="399"/>
      <c r="U102" s="399"/>
      <c r="V102" s="399"/>
      <c r="W102" s="400"/>
      <c r="X102" s="400"/>
      <c r="Y102" s="400"/>
      <c r="Z102" s="400"/>
      <c r="AA102" s="400"/>
      <c r="AB102" s="400"/>
      <c r="AC102" s="400"/>
      <c r="AD102" s="400"/>
      <c r="AE102" s="400"/>
      <c r="AF102" s="400"/>
      <c r="AG102" s="400"/>
      <c r="AH102" s="400"/>
      <c r="AI102" s="400"/>
      <c r="AJ102"/>
    </row>
    <row r="103" spans="1:36" s="21" customFormat="1">
      <c r="A103"/>
      <c r="B103"/>
      <c r="C103"/>
      <c r="D103"/>
      <c r="E103" s="401"/>
      <c r="F103" s="401"/>
      <c r="G103" s="401"/>
      <c r="H103" s="401"/>
      <c r="I103" s="401"/>
      <c r="J103" s="401"/>
      <c r="K103" s="401"/>
      <c r="L103" s="401"/>
      <c r="M103" s="401"/>
      <c r="N103" s="401"/>
      <c r="O103" s="401"/>
      <c r="P103" s="401"/>
      <c r="Q103" s="401"/>
      <c r="R103" s="401"/>
      <c r="S103" s="399"/>
      <c r="T103" s="399"/>
      <c r="U103" s="399"/>
      <c r="V103" s="399"/>
      <c r="W103" s="400"/>
      <c r="X103" s="400"/>
      <c r="Y103" s="400"/>
      <c r="Z103" s="400"/>
      <c r="AA103" s="400"/>
      <c r="AB103" s="400"/>
      <c r="AC103" s="400"/>
      <c r="AD103" s="400"/>
      <c r="AE103" s="400"/>
      <c r="AF103" s="400"/>
      <c r="AG103" s="400"/>
      <c r="AH103" s="400"/>
      <c r="AI103" s="400"/>
      <c r="AJ103"/>
    </row>
    <row r="104" spans="1:36" s="21" customFormat="1">
      <c r="A104"/>
      <c r="B104"/>
      <c r="C104"/>
      <c r="D104"/>
      <c r="E104" s="401"/>
      <c r="F104" s="401"/>
      <c r="G104" s="401"/>
      <c r="H104" s="401"/>
      <c r="I104" s="401"/>
      <c r="J104" s="401"/>
      <c r="K104" s="401"/>
      <c r="L104" s="401"/>
      <c r="M104" s="401"/>
      <c r="N104" s="401"/>
      <c r="O104" s="401"/>
      <c r="P104" s="401"/>
      <c r="Q104" s="401"/>
      <c r="R104" s="401"/>
      <c r="S104" s="399"/>
      <c r="T104" s="399"/>
      <c r="U104" s="399"/>
      <c r="V104" s="399"/>
      <c r="W104" s="400"/>
      <c r="X104" s="400"/>
      <c r="Y104" s="400"/>
      <c r="Z104" s="400"/>
      <c r="AA104" s="400"/>
      <c r="AB104" s="400"/>
      <c r="AC104" s="400"/>
      <c r="AD104" s="400"/>
      <c r="AE104" s="400"/>
      <c r="AF104" s="400"/>
      <c r="AG104" s="400"/>
      <c r="AH104" s="400"/>
      <c r="AI104" s="400"/>
      <c r="AJ104"/>
    </row>
    <row r="105" spans="1:36" s="21" customFormat="1">
      <c r="A105"/>
      <c r="B105"/>
      <c r="C105"/>
      <c r="D105"/>
      <c r="E105" s="401"/>
      <c r="F105" s="401"/>
      <c r="G105" s="401"/>
      <c r="H105" s="401"/>
      <c r="I105" s="401"/>
      <c r="J105" s="401"/>
      <c r="K105" s="401"/>
      <c r="L105" s="401"/>
      <c r="M105" s="401"/>
      <c r="N105" s="401"/>
      <c r="O105" s="401"/>
      <c r="P105" s="401"/>
      <c r="Q105" s="401"/>
      <c r="R105" s="401"/>
      <c r="S105" s="399"/>
      <c r="T105" s="399"/>
      <c r="U105" s="399"/>
      <c r="V105" s="399"/>
      <c r="W105" s="400"/>
      <c r="X105" s="400"/>
      <c r="Y105" s="400"/>
      <c r="Z105" s="400"/>
      <c r="AA105" s="400"/>
      <c r="AB105" s="400"/>
      <c r="AC105" s="400"/>
      <c r="AD105" s="400"/>
      <c r="AE105" s="400"/>
      <c r="AF105" s="400"/>
      <c r="AG105" s="400"/>
      <c r="AH105" s="400"/>
      <c r="AI105" s="400"/>
      <c r="AJ105"/>
    </row>
    <row r="106" spans="1:36" s="21" customFormat="1">
      <c r="A106"/>
      <c r="B106"/>
      <c r="C106"/>
      <c r="D106"/>
      <c r="E106" s="401"/>
      <c r="F106" s="401"/>
      <c r="G106" s="401"/>
      <c r="H106" s="401"/>
      <c r="I106" s="401"/>
      <c r="J106" s="401"/>
      <c r="K106" s="401"/>
      <c r="L106" s="401"/>
      <c r="M106" s="401"/>
      <c r="N106" s="401"/>
      <c r="O106" s="401"/>
      <c r="P106" s="401"/>
      <c r="Q106" s="401"/>
      <c r="R106" s="401"/>
      <c r="S106" s="399"/>
      <c r="T106" s="399"/>
      <c r="U106" s="399"/>
      <c r="V106" s="399"/>
      <c r="W106" s="400"/>
      <c r="X106" s="400"/>
      <c r="Y106" s="400"/>
      <c r="Z106" s="400"/>
      <c r="AA106" s="400"/>
      <c r="AB106" s="400"/>
      <c r="AC106" s="400"/>
      <c r="AD106" s="400"/>
      <c r="AE106" s="400"/>
      <c r="AF106" s="400"/>
      <c r="AG106" s="400"/>
      <c r="AH106" s="400"/>
      <c r="AI106" s="400"/>
      <c r="AJ106"/>
    </row>
    <row r="107" spans="1:36" s="21" customFormat="1">
      <c r="A107"/>
      <c r="B107"/>
      <c r="C107"/>
      <c r="D107"/>
      <c r="E107" s="401"/>
      <c r="F107" s="401"/>
      <c r="G107" s="401"/>
      <c r="H107" s="401"/>
      <c r="I107" s="401"/>
      <c r="J107" s="401"/>
      <c r="K107" s="401"/>
      <c r="L107" s="401"/>
      <c r="M107" s="401"/>
      <c r="N107" s="401"/>
      <c r="O107" s="401"/>
      <c r="P107" s="401"/>
      <c r="Q107" s="401"/>
      <c r="R107" s="401"/>
      <c r="S107" s="399"/>
      <c r="T107" s="399"/>
      <c r="U107" s="399"/>
      <c r="V107" s="399"/>
      <c r="W107" s="400"/>
      <c r="X107" s="400"/>
      <c r="Y107" s="400"/>
      <c r="Z107" s="400"/>
      <c r="AA107" s="400"/>
      <c r="AB107" s="400"/>
      <c r="AC107" s="400"/>
      <c r="AD107" s="400"/>
      <c r="AE107" s="400"/>
      <c r="AF107" s="400"/>
      <c r="AG107" s="400"/>
      <c r="AH107" s="400"/>
      <c r="AI107" s="400"/>
      <c r="AJ107"/>
    </row>
    <row r="108" spans="1:36">
      <c r="E108" s="401"/>
      <c r="F108" s="401"/>
      <c r="G108" s="401"/>
      <c r="H108" s="401"/>
      <c r="I108" s="401"/>
      <c r="J108" s="401"/>
      <c r="K108" s="401"/>
      <c r="L108" s="401"/>
      <c r="M108" s="401"/>
      <c r="N108" s="401"/>
      <c r="O108" s="401"/>
      <c r="P108" s="401"/>
      <c r="Q108" s="401"/>
      <c r="R108" s="401"/>
      <c r="S108" s="399"/>
      <c r="T108" s="399"/>
      <c r="U108" s="399"/>
      <c r="V108" s="399"/>
      <c r="W108" s="400"/>
      <c r="X108" s="400"/>
      <c r="Y108" s="400"/>
      <c r="Z108" s="400"/>
      <c r="AA108" s="400"/>
      <c r="AB108" s="400"/>
      <c r="AC108" s="400"/>
      <c r="AD108" s="400"/>
      <c r="AE108" s="400"/>
      <c r="AF108" s="400"/>
      <c r="AG108" s="400"/>
      <c r="AH108" s="400"/>
      <c r="AI108" s="400"/>
    </row>
    <row r="109" spans="1:36">
      <c r="E109" s="401"/>
      <c r="F109" s="401"/>
      <c r="G109" s="401"/>
      <c r="H109" s="401"/>
      <c r="I109" s="401"/>
      <c r="J109" s="401"/>
      <c r="K109" s="401"/>
      <c r="L109" s="401"/>
      <c r="M109" s="401"/>
      <c r="N109" s="401"/>
      <c r="O109" s="401"/>
      <c r="P109" s="401"/>
      <c r="Q109" s="401"/>
      <c r="R109" s="401"/>
      <c r="S109" s="399"/>
      <c r="T109" s="399"/>
      <c r="U109" s="399"/>
      <c r="V109" s="399"/>
      <c r="W109" s="400"/>
      <c r="X109" s="400"/>
      <c r="Y109" s="400"/>
      <c r="Z109" s="400"/>
      <c r="AA109" s="400"/>
      <c r="AB109" s="400"/>
      <c r="AC109" s="400"/>
      <c r="AD109" s="400"/>
      <c r="AE109" s="400"/>
      <c r="AF109" s="400"/>
      <c r="AG109" s="400"/>
      <c r="AH109" s="400"/>
      <c r="AI109" s="400"/>
    </row>
    <row r="110" spans="1:36">
      <c r="E110" s="401"/>
      <c r="F110" s="401"/>
      <c r="G110" s="401"/>
      <c r="H110" s="401"/>
      <c r="I110" s="401"/>
      <c r="J110" s="401"/>
      <c r="K110" s="401"/>
      <c r="L110" s="401"/>
      <c r="M110" s="401"/>
      <c r="N110" s="401"/>
      <c r="O110" s="401"/>
      <c r="P110" s="401"/>
      <c r="Q110" s="401"/>
      <c r="R110" s="401"/>
      <c r="S110" s="399"/>
      <c r="T110" s="399"/>
      <c r="U110" s="399"/>
      <c r="V110" s="399"/>
      <c r="W110" s="400"/>
      <c r="X110" s="400"/>
      <c r="Y110" s="400"/>
      <c r="Z110" s="400"/>
      <c r="AA110" s="400"/>
      <c r="AB110" s="400"/>
      <c r="AC110" s="400"/>
      <c r="AD110" s="400"/>
      <c r="AE110" s="400"/>
      <c r="AF110" s="400"/>
      <c r="AG110" s="400"/>
      <c r="AH110" s="400"/>
      <c r="AI110" s="400"/>
    </row>
    <row r="111" spans="1:36">
      <c r="E111" s="401"/>
      <c r="F111" s="401"/>
      <c r="G111" s="401"/>
      <c r="H111" s="401"/>
      <c r="I111" s="401"/>
      <c r="J111" s="401"/>
      <c r="K111" s="401"/>
      <c r="L111" s="401"/>
      <c r="M111" s="401"/>
      <c r="N111" s="401"/>
      <c r="O111" s="401"/>
      <c r="P111" s="401"/>
      <c r="Q111" s="401"/>
      <c r="R111" s="401"/>
      <c r="S111" s="399"/>
      <c r="T111" s="399"/>
      <c r="U111" s="399"/>
      <c r="V111" s="399"/>
      <c r="W111" s="400"/>
      <c r="X111" s="400"/>
      <c r="Y111" s="400"/>
      <c r="Z111" s="400"/>
      <c r="AA111" s="400"/>
      <c r="AB111" s="400"/>
      <c r="AC111" s="400"/>
      <c r="AD111" s="400"/>
      <c r="AE111" s="400"/>
      <c r="AF111" s="400"/>
      <c r="AG111" s="400"/>
      <c r="AH111" s="400"/>
      <c r="AI111" s="400"/>
    </row>
    <row r="112" spans="1:36">
      <c r="E112" s="401"/>
      <c r="F112" s="401"/>
      <c r="G112" s="401"/>
      <c r="H112" s="401"/>
      <c r="I112" s="401"/>
      <c r="J112" s="401"/>
      <c r="K112" s="401"/>
      <c r="L112" s="401"/>
      <c r="M112" s="401"/>
      <c r="N112" s="401"/>
      <c r="O112" s="401"/>
      <c r="P112" s="401"/>
      <c r="Q112" s="401"/>
      <c r="R112" s="401"/>
      <c r="S112" s="399"/>
      <c r="T112" s="399"/>
      <c r="U112" s="399"/>
      <c r="V112" s="399"/>
      <c r="W112" s="400"/>
      <c r="X112" s="400"/>
      <c r="Y112" s="400"/>
      <c r="Z112" s="400"/>
      <c r="AA112" s="400"/>
      <c r="AB112" s="400"/>
      <c r="AC112" s="400"/>
      <c r="AD112" s="400"/>
      <c r="AE112" s="400"/>
      <c r="AF112" s="400"/>
      <c r="AG112" s="400"/>
      <c r="AH112" s="400"/>
      <c r="AI112" s="400"/>
    </row>
    <row r="113" spans="5:35">
      <c r="E113" s="401"/>
      <c r="F113" s="401"/>
      <c r="G113" s="401"/>
      <c r="H113" s="401"/>
      <c r="I113" s="401"/>
      <c r="J113" s="401"/>
      <c r="K113" s="401"/>
      <c r="L113" s="401"/>
      <c r="M113" s="401"/>
      <c r="N113" s="401"/>
      <c r="O113" s="401"/>
      <c r="P113" s="401"/>
      <c r="Q113" s="401"/>
      <c r="R113" s="401"/>
      <c r="S113" s="399"/>
      <c r="T113" s="399"/>
      <c r="U113" s="399"/>
      <c r="V113" s="399"/>
      <c r="W113" s="400"/>
      <c r="X113" s="400"/>
      <c r="Y113" s="400"/>
      <c r="Z113" s="400"/>
      <c r="AA113" s="400"/>
      <c r="AB113" s="400"/>
      <c r="AC113" s="400"/>
      <c r="AD113" s="400"/>
      <c r="AE113" s="400"/>
      <c r="AF113" s="400"/>
      <c r="AG113" s="400"/>
      <c r="AH113" s="400"/>
      <c r="AI113" s="400"/>
    </row>
    <row r="114" spans="5:35">
      <c r="E114" s="401"/>
      <c r="F114" s="401"/>
      <c r="G114" s="401"/>
      <c r="H114" s="401"/>
      <c r="I114" s="401"/>
      <c r="J114" s="401"/>
      <c r="K114" s="401"/>
      <c r="L114" s="401"/>
      <c r="M114" s="401"/>
      <c r="N114" s="401"/>
      <c r="O114" s="401"/>
      <c r="P114" s="401"/>
      <c r="Q114" s="401"/>
      <c r="R114" s="401"/>
      <c r="S114" s="399"/>
      <c r="T114" s="399"/>
      <c r="U114" s="399"/>
      <c r="V114" s="399"/>
      <c r="W114" s="400"/>
      <c r="X114" s="400"/>
      <c r="Y114" s="400"/>
      <c r="Z114" s="400"/>
      <c r="AA114" s="400"/>
      <c r="AB114" s="400"/>
      <c r="AC114" s="400"/>
      <c r="AD114" s="400"/>
      <c r="AE114" s="400"/>
      <c r="AF114" s="400"/>
      <c r="AG114" s="400"/>
      <c r="AH114" s="400"/>
      <c r="AI114" s="400"/>
    </row>
    <row r="115" spans="5:35">
      <c r="E115" s="401"/>
      <c r="F115" s="401"/>
      <c r="G115" s="401"/>
      <c r="H115" s="401"/>
      <c r="I115" s="401"/>
      <c r="J115" s="401"/>
      <c r="K115" s="401"/>
      <c r="L115" s="401"/>
      <c r="M115" s="401"/>
      <c r="N115" s="401"/>
      <c r="O115" s="401"/>
      <c r="P115" s="401"/>
      <c r="Q115" s="401"/>
      <c r="R115" s="401"/>
      <c r="S115" s="399"/>
      <c r="T115" s="399"/>
      <c r="U115" s="399"/>
      <c r="V115" s="399"/>
      <c r="W115" s="400"/>
      <c r="X115" s="400"/>
      <c r="Y115" s="400"/>
      <c r="Z115" s="400"/>
      <c r="AA115" s="400"/>
      <c r="AB115" s="400"/>
      <c r="AC115" s="400"/>
      <c r="AD115" s="400"/>
      <c r="AE115" s="400"/>
      <c r="AF115" s="400"/>
      <c r="AG115" s="400"/>
      <c r="AH115" s="400"/>
      <c r="AI115" s="400"/>
    </row>
    <row r="116" spans="5:35">
      <c r="E116" s="401"/>
      <c r="F116" s="401"/>
      <c r="G116" s="401"/>
      <c r="H116" s="401"/>
      <c r="I116" s="401"/>
      <c r="J116" s="401"/>
      <c r="K116" s="401"/>
      <c r="L116" s="401"/>
      <c r="M116" s="401"/>
      <c r="N116" s="401"/>
      <c r="O116" s="401"/>
      <c r="P116" s="401"/>
      <c r="Q116" s="401"/>
      <c r="R116" s="401"/>
      <c r="S116" s="399"/>
      <c r="T116" s="399"/>
      <c r="U116" s="399"/>
      <c r="V116" s="399"/>
      <c r="W116" s="400"/>
      <c r="X116" s="400"/>
      <c r="Y116" s="400"/>
      <c r="Z116" s="400"/>
      <c r="AA116" s="400"/>
      <c r="AB116" s="400"/>
      <c r="AC116" s="400"/>
      <c r="AD116" s="400"/>
      <c r="AE116" s="400"/>
      <c r="AF116" s="400"/>
      <c r="AG116" s="400"/>
      <c r="AH116" s="400"/>
      <c r="AI116" s="400"/>
    </row>
    <row r="117" spans="5:35">
      <c r="E117" s="401"/>
      <c r="F117" s="401"/>
      <c r="G117" s="401"/>
      <c r="H117" s="401"/>
      <c r="I117" s="401"/>
      <c r="J117" s="401"/>
      <c r="K117" s="401"/>
      <c r="L117" s="401"/>
      <c r="M117" s="401"/>
      <c r="N117" s="401"/>
      <c r="O117" s="401"/>
      <c r="P117" s="401"/>
      <c r="Q117" s="401"/>
      <c r="R117" s="401"/>
      <c r="S117" s="399"/>
      <c r="T117" s="399"/>
      <c r="U117" s="399"/>
      <c r="V117" s="399"/>
      <c r="W117" s="400"/>
      <c r="X117" s="400"/>
      <c r="Y117" s="400"/>
      <c r="Z117" s="400"/>
      <c r="AA117" s="400"/>
      <c r="AB117" s="400"/>
      <c r="AC117" s="400"/>
      <c r="AD117" s="400"/>
      <c r="AE117" s="400"/>
      <c r="AF117" s="400"/>
      <c r="AG117" s="400"/>
      <c r="AH117" s="400"/>
      <c r="AI117" s="400"/>
    </row>
    <row r="118" spans="5:35">
      <c r="E118" s="401"/>
      <c r="F118" s="401"/>
      <c r="G118" s="401"/>
      <c r="H118" s="401"/>
      <c r="I118" s="401"/>
      <c r="J118" s="401"/>
      <c r="K118" s="401"/>
      <c r="L118" s="401"/>
      <c r="M118" s="401"/>
      <c r="N118" s="401"/>
      <c r="O118" s="401"/>
      <c r="P118" s="401"/>
      <c r="Q118" s="401"/>
      <c r="R118" s="401"/>
      <c r="S118" s="399"/>
      <c r="T118" s="399"/>
      <c r="U118" s="399"/>
      <c r="V118" s="399"/>
      <c r="W118" s="400"/>
      <c r="X118" s="400"/>
      <c r="Y118" s="400"/>
      <c r="Z118" s="400"/>
      <c r="AA118" s="400"/>
      <c r="AB118" s="400"/>
      <c r="AC118" s="400"/>
      <c r="AD118" s="400"/>
      <c r="AE118" s="400"/>
      <c r="AF118" s="400"/>
      <c r="AG118" s="400"/>
      <c r="AH118" s="400"/>
      <c r="AI118" s="400"/>
    </row>
    <row r="119" spans="5:35">
      <c r="E119" s="401"/>
      <c r="F119" s="401"/>
      <c r="G119" s="401"/>
      <c r="H119" s="401"/>
      <c r="I119" s="401"/>
      <c r="J119" s="401"/>
      <c r="K119" s="401"/>
      <c r="L119" s="401"/>
      <c r="M119" s="401"/>
      <c r="N119" s="401"/>
      <c r="O119" s="401"/>
      <c r="P119" s="401"/>
      <c r="Q119" s="401"/>
      <c r="R119" s="401"/>
      <c r="S119" s="399"/>
      <c r="T119" s="399"/>
      <c r="U119" s="399"/>
      <c r="V119" s="399"/>
      <c r="W119" s="400"/>
      <c r="X119" s="400"/>
      <c r="Y119" s="400"/>
      <c r="Z119" s="400"/>
      <c r="AA119" s="400"/>
      <c r="AB119" s="400"/>
      <c r="AC119" s="400"/>
      <c r="AD119" s="400"/>
      <c r="AE119" s="400"/>
      <c r="AF119" s="400"/>
      <c r="AG119" s="400"/>
      <c r="AH119" s="400"/>
      <c r="AI119" s="400"/>
    </row>
    <row r="120" spans="5:35">
      <c r="E120" s="401"/>
      <c r="F120" s="401"/>
      <c r="G120" s="401"/>
      <c r="H120" s="401"/>
      <c r="I120" s="401"/>
      <c r="J120" s="401"/>
      <c r="K120" s="401"/>
      <c r="L120" s="401"/>
      <c r="M120" s="401"/>
      <c r="N120" s="401"/>
      <c r="O120" s="401"/>
      <c r="P120" s="401"/>
      <c r="Q120" s="401"/>
      <c r="R120" s="401"/>
      <c r="S120" s="399"/>
      <c r="T120" s="399"/>
      <c r="U120" s="399"/>
      <c r="V120" s="399"/>
      <c r="W120" s="400"/>
      <c r="X120" s="400"/>
      <c r="Y120" s="400"/>
      <c r="Z120" s="400"/>
      <c r="AA120" s="400"/>
      <c r="AB120" s="400"/>
      <c r="AC120" s="400"/>
      <c r="AD120" s="400"/>
      <c r="AE120" s="400"/>
      <c r="AF120" s="400"/>
      <c r="AG120" s="400"/>
      <c r="AH120" s="400"/>
      <c r="AI120" s="400"/>
    </row>
    <row r="121" spans="5:35">
      <c r="E121" s="401"/>
      <c r="F121" s="401"/>
      <c r="G121" s="401"/>
      <c r="H121" s="401"/>
      <c r="I121" s="401"/>
      <c r="J121" s="401"/>
      <c r="K121" s="401"/>
      <c r="L121" s="401"/>
      <c r="M121" s="401"/>
      <c r="N121" s="401"/>
      <c r="O121" s="401"/>
      <c r="P121" s="401"/>
      <c r="Q121" s="401"/>
      <c r="R121" s="401"/>
      <c r="S121" s="399"/>
      <c r="T121" s="399"/>
      <c r="U121" s="399"/>
      <c r="V121" s="399"/>
      <c r="W121" s="400"/>
      <c r="X121" s="400"/>
      <c r="Y121" s="400"/>
      <c r="Z121" s="400"/>
      <c r="AA121" s="400"/>
      <c r="AB121" s="400"/>
      <c r="AC121" s="400"/>
      <c r="AD121" s="400"/>
      <c r="AE121" s="400"/>
      <c r="AF121" s="400"/>
      <c r="AG121" s="400"/>
      <c r="AH121" s="400"/>
      <c r="AI121" s="400"/>
    </row>
    <row r="122" spans="5:35">
      <c r="E122" s="401"/>
      <c r="F122" s="401"/>
      <c r="G122" s="401"/>
      <c r="H122" s="401"/>
      <c r="I122" s="401"/>
      <c r="J122" s="401"/>
      <c r="K122" s="401"/>
      <c r="L122" s="401"/>
      <c r="M122" s="401"/>
      <c r="N122" s="401"/>
      <c r="O122" s="401"/>
      <c r="P122" s="401"/>
      <c r="Q122" s="401"/>
      <c r="R122" s="401"/>
      <c r="S122" s="399"/>
      <c r="T122" s="399"/>
      <c r="U122" s="399"/>
      <c r="V122" s="399"/>
      <c r="W122" s="400"/>
      <c r="X122" s="400"/>
      <c r="Y122" s="400"/>
      <c r="Z122" s="400"/>
      <c r="AA122" s="400"/>
      <c r="AB122" s="400"/>
      <c r="AC122" s="400"/>
      <c r="AD122" s="400"/>
      <c r="AE122" s="400"/>
      <c r="AF122" s="400"/>
      <c r="AG122" s="400"/>
      <c r="AH122" s="400"/>
      <c r="AI122" s="400"/>
    </row>
    <row r="123" spans="5:35">
      <c r="E123" s="401"/>
      <c r="F123" s="401"/>
      <c r="G123" s="401"/>
      <c r="H123" s="401"/>
      <c r="I123" s="401"/>
      <c r="J123" s="401"/>
      <c r="K123" s="401"/>
      <c r="L123" s="401"/>
      <c r="M123" s="401"/>
      <c r="N123" s="401"/>
      <c r="O123" s="401"/>
      <c r="P123" s="401"/>
      <c r="Q123" s="401"/>
      <c r="R123" s="401"/>
      <c r="S123" s="399"/>
      <c r="T123" s="399"/>
      <c r="U123" s="399"/>
      <c r="V123" s="399"/>
      <c r="W123" s="400"/>
      <c r="X123" s="400"/>
      <c r="Y123" s="400"/>
      <c r="Z123" s="400"/>
      <c r="AA123" s="400"/>
      <c r="AB123" s="400"/>
      <c r="AC123" s="400"/>
      <c r="AD123" s="400"/>
      <c r="AE123" s="400"/>
      <c r="AF123" s="400"/>
      <c r="AG123" s="400"/>
      <c r="AH123" s="400"/>
      <c r="AI123" s="400"/>
    </row>
    <row r="124" spans="5:35">
      <c r="E124" s="401"/>
      <c r="F124" s="401"/>
      <c r="G124" s="401"/>
      <c r="H124" s="401"/>
      <c r="I124" s="401"/>
      <c r="J124" s="401"/>
      <c r="K124" s="401"/>
      <c r="L124" s="401"/>
      <c r="M124" s="401"/>
      <c r="N124" s="401"/>
      <c r="O124" s="401"/>
      <c r="P124" s="401"/>
      <c r="Q124" s="401"/>
      <c r="R124" s="401"/>
      <c r="S124" s="399"/>
      <c r="T124" s="399"/>
      <c r="U124" s="399"/>
      <c r="V124" s="399"/>
      <c r="W124" s="400"/>
      <c r="X124" s="400"/>
      <c r="Y124" s="400"/>
      <c r="Z124" s="400"/>
      <c r="AA124" s="400"/>
      <c r="AB124" s="400"/>
      <c r="AC124" s="400"/>
      <c r="AD124" s="400"/>
      <c r="AE124" s="400"/>
      <c r="AF124" s="400"/>
      <c r="AG124" s="400"/>
      <c r="AH124" s="400"/>
      <c r="AI124" s="400"/>
    </row>
    <row r="125" spans="5:35">
      <c r="E125" s="401"/>
      <c r="F125" s="401"/>
      <c r="G125" s="401"/>
      <c r="H125" s="401"/>
      <c r="I125" s="401"/>
      <c r="J125" s="401"/>
      <c r="K125" s="401"/>
      <c r="L125" s="401"/>
      <c r="M125" s="401"/>
      <c r="N125" s="401"/>
      <c r="O125" s="401"/>
      <c r="P125" s="401"/>
      <c r="Q125" s="401"/>
      <c r="R125" s="401"/>
      <c r="S125" s="399"/>
      <c r="T125" s="399"/>
      <c r="U125" s="399"/>
      <c r="V125" s="399"/>
      <c r="W125" s="400"/>
      <c r="X125" s="400"/>
      <c r="Y125" s="400"/>
      <c r="Z125" s="400"/>
      <c r="AA125" s="400"/>
      <c r="AB125" s="400"/>
      <c r="AC125" s="400"/>
      <c r="AD125" s="400"/>
      <c r="AE125" s="400"/>
      <c r="AF125" s="400"/>
      <c r="AG125" s="400"/>
      <c r="AH125" s="400"/>
      <c r="AI125" s="400"/>
    </row>
    <row r="126" spans="5:35">
      <c r="E126" s="401"/>
      <c r="F126" s="401"/>
      <c r="G126" s="401"/>
      <c r="H126" s="401"/>
      <c r="I126" s="401"/>
      <c r="J126" s="401"/>
      <c r="K126" s="401"/>
      <c r="L126" s="401"/>
      <c r="M126" s="401"/>
      <c r="N126" s="401"/>
      <c r="O126" s="401"/>
      <c r="P126" s="401"/>
      <c r="Q126" s="401"/>
      <c r="R126" s="401"/>
      <c r="S126" s="399"/>
      <c r="T126" s="399"/>
      <c r="U126" s="399"/>
      <c r="V126" s="399"/>
      <c r="W126" s="400"/>
      <c r="X126" s="400"/>
      <c r="Y126" s="400"/>
      <c r="Z126" s="400"/>
      <c r="AA126" s="400"/>
      <c r="AB126" s="400"/>
      <c r="AC126" s="400"/>
      <c r="AD126" s="400"/>
      <c r="AE126" s="400"/>
      <c r="AF126" s="400"/>
      <c r="AG126" s="400"/>
      <c r="AH126" s="400"/>
      <c r="AI126" s="400"/>
    </row>
    <row r="127" spans="5:35">
      <c r="E127" s="401"/>
      <c r="F127" s="401"/>
      <c r="G127" s="401"/>
      <c r="H127" s="401"/>
      <c r="I127" s="401"/>
      <c r="J127" s="401"/>
      <c r="K127" s="401"/>
      <c r="L127" s="401"/>
      <c r="M127" s="401"/>
      <c r="N127" s="401"/>
      <c r="O127" s="401"/>
      <c r="P127" s="401"/>
      <c r="Q127" s="401"/>
      <c r="R127" s="401"/>
      <c r="S127" s="399"/>
      <c r="T127" s="399"/>
      <c r="U127" s="399"/>
      <c r="V127" s="399"/>
      <c r="W127" s="400"/>
      <c r="X127" s="400"/>
      <c r="Y127" s="400"/>
      <c r="Z127" s="400"/>
      <c r="AA127" s="400"/>
      <c r="AB127" s="400"/>
      <c r="AC127" s="400"/>
      <c r="AD127" s="400"/>
      <c r="AE127" s="400"/>
      <c r="AF127" s="400"/>
      <c r="AG127" s="400"/>
      <c r="AH127" s="400"/>
      <c r="AI127" s="400"/>
    </row>
    <row r="128" spans="5:35">
      <c r="E128" s="401"/>
      <c r="F128" s="401"/>
      <c r="G128" s="401"/>
      <c r="H128" s="401"/>
      <c r="I128" s="401"/>
      <c r="J128" s="401"/>
      <c r="K128" s="401"/>
      <c r="L128" s="401"/>
      <c r="M128" s="401"/>
      <c r="N128" s="401"/>
      <c r="O128" s="401"/>
      <c r="P128" s="401"/>
      <c r="Q128" s="401"/>
      <c r="R128" s="401"/>
      <c r="S128" s="399"/>
      <c r="T128" s="399"/>
      <c r="U128" s="399"/>
      <c r="V128" s="399"/>
      <c r="W128" s="400"/>
      <c r="X128" s="400"/>
      <c r="Y128" s="400"/>
      <c r="Z128" s="400"/>
      <c r="AA128" s="400"/>
      <c r="AB128" s="400"/>
      <c r="AC128" s="400"/>
      <c r="AD128" s="400"/>
      <c r="AE128" s="400"/>
      <c r="AF128" s="400"/>
      <c r="AG128" s="400"/>
      <c r="AH128" s="400"/>
      <c r="AI128" s="400"/>
    </row>
    <row r="129" spans="5:35">
      <c r="E129" s="401"/>
      <c r="F129" s="401"/>
      <c r="G129" s="401"/>
      <c r="H129" s="401"/>
      <c r="I129" s="401"/>
      <c r="J129" s="401"/>
      <c r="K129" s="401"/>
      <c r="L129" s="401"/>
      <c r="M129" s="401"/>
      <c r="N129" s="401"/>
      <c r="O129" s="401"/>
      <c r="P129" s="401"/>
      <c r="Q129" s="401"/>
      <c r="R129" s="401"/>
      <c r="S129" s="399"/>
      <c r="T129" s="399"/>
      <c r="U129" s="399"/>
      <c r="V129" s="399"/>
      <c r="W129" s="400"/>
      <c r="X129" s="400"/>
      <c r="Y129" s="400"/>
      <c r="Z129" s="400"/>
      <c r="AA129" s="400"/>
      <c r="AB129" s="400"/>
      <c r="AC129" s="400"/>
      <c r="AD129" s="400"/>
      <c r="AE129" s="400"/>
      <c r="AF129" s="400"/>
      <c r="AG129" s="400"/>
      <c r="AH129" s="400"/>
      <c r="AI129" s="400"/>
    </row>
    <row r="130" spans="5:35">
      <c r="E130" s="401"/>
      <c r="F130" s="401"/>
      <c r="G130" s="401"/>
      <c r="H130" s="401"/>
      <c r="I130" s="401"/>
      <c r="J130" s="401"/>
      <c r="K130" s="401"/>
      <c r="L130" s="401"/>
      <c r="M130" s="401"/>
      <c r="N130" s="401"/>
      <c r="O130" s="401"/>
      <c r="P130" s="401"/>
      <c r="Q130" s="401"/>
      <c r="R130" s="401"/>
      <c r="S130" s="399"/>
      <c r="T130" s="399"/>
      <c r="U130" s="399"/>
      <c r="V130" s="399"/>
      <c r="W130" s="400"/>
      <c r="X130" s="400"/>
      <c r="Y130" s="400"/>
      <c r="Z130" s="400"/>
      <c r="AA130" s="400"/>
      <c r="AB130" s="400"/>
      <c r="AC130" s="400"/>
      <c r="AD130" s="400"/>
      <c r="AE130" s="400"/>
      <c r="AF130" s="400"/>
      <c r="AG130" s="400"/>
      <c r="AH130" s="400"/>
      <c r="AI130" s="400"/>
    </row>
    <row r="131" spans="5:35">
      <c r="E131" s="401"/>
      <c r="F131" s="401"/>
      <c r="G131" s="401"/>
      <c r="H131" s="401"/>
      <c r="I131" s="401"/>
      <c r="J131" s="401"/>
      <c r="K131" s="401"/>
      <c r="L131" s="401"/>
      <c r="M131" s="401"/>
      <c r="N131" s="401"/>
      <c r="O131" s="401"/>
      <c r="P131" s="401"/>
      <c r="Q131" s="401"/>
      <c r="R131" s="401"/>
      <c r="S131" s="399"/>
      <c r="T131" s="399"/>
      <c r="U131" s="399"/>
      <c r="V131" s="399"/>
      <c r="W131" s="400"/>
      <c r="X131" s="400"/>
      <c r="Y131" s="400"/>
      <c r="Z131" s="400"/>
      <c r="AA131" s="400"/>
      <c r="AB131" s="400"/>
      <c r="AC131" s="400"/>
      <c r="AD131" s="400"/>
      <c r="AE131" s="400"/>
      <c r="AF131" s="400"/>
      <c r="AG131" s="400"/>
      <c r="AH131" s="400"/>
      <c r="AI131" s="400"/>
    </row>
    <row r="132" spans="5:35">
      <c r="E132" s="401"/>
      <c r="F132" s="401"/>
      <c r="G132" s="401"/>
      <c r="H132" s="401"/>
      <c r="I132" s="401"/>
      <c r="J132" s="401"/>
      <c r="K132" s="401"/>
      <c r="L132" s="401"/>
      <c r="M132" s="401"/>
      <c r="N132" s="401"/>
      <c r="O132" s="401"/>
      <c r="P132" s="401"/>
      <c r="Q132" s="401"/>
      <c r="R132" s="401"/>
      <c r="S132" s="399"/>
      <c r="T132" s="399"/>
      <c r="U132" s="399"/>
      <c r="V132" s="399"/>
      <c r="W132" s="400"/>
      <c r="X132" s="400"/>
      <c r="Y132" s="400"/>
      <c r="Z132" s="400"/>
      <c r="AA132" s="400"/>
      <c r="AB132" s="400"/>
      <c r="AC132" s="400"/>
      <c r="AD132" s="400"/>
      <c r="AE132" s="400"/>
      <c r="AF132" s="400"/>
      <c r="AG132" s="400"/>
      <c r="AH132" s="400"/>
      <c r="AI132" s="400"/>
    </row>
    <row r="133" spans="5:35">
      <c r="E133" s="401"/>
      <c r="F133" s="401"/>
      <c r="G133" s="401"/>
      <c r="H133" s="401"/>
      <c r="I133" s="401"/>
      <c r="J133" s="401"/>
      <c r="K133" s="401"/>
      <c r="L133" s="401"/>
      <c r="M133" s="401"/>
      <c r="N133" s="401"/>
      <c r="O133" s="401"/>
      <c r="P133" s="401"/>
      <c r="Q133" s="401"/>
      <c r="R133" s="401"/>
      <c r="S133" s="399"/>
      <c r="T133" s="399"/>
      <c r="U133" s="399"/>
      <c r="V133" s="399"/>
      <c r="W133" s="400"/>
      <c r="X133" s="400"/>
      <c r="Y133" s="400"/>
      <c r="Z133" s="400"/>
      <c r="AA133" s="400"/>
      <c r="AB133" s="400"/>
      <c r="AC133" s="400"/>
      <c r="AD133" s="400"/>
      <c r="AE133" s="400"/>
      <c r="AF133" s="400"/>
      <c r="AG133" s="400"/>
      <c r="AH133" s="400"/>
      <c r="AI133" s="400"/>
    </row>
    <row r="134" spans="5:35">
      <c r="E134" s="401"/>
      <c r="F134" s="401"/>
      <c r="G134" s="401"/>
      <c r="H134" s="401"/>
      <c r="I134" s="401"/>
      <c r="J134" s="401"/>
      <c r="K134" s="401"/>
      <c r="L134" s="401"/>
      <c r="M134" s="401"/>
      <c r="N134" s="401"/>
      <c r="O134" s="401"/>
      <c r="P134" s="401"/>
      <c r="Q134" s="401"/>
      <c r="R134" s="401"/>
      <c r="S134" s="399"/>
      <c r="T134" s="399"/>
      <c r="U134" s="399"/>
      <c r="V134" s="399"/>
      <c r="W134" s="400"/>
      <c r="X134" s="400"/>
      <c r="Y134" s="400"/>
      <c r="Z134" s="400"/>
      <c r="AA134" s="400"/>
      <c r="AB134" s="400"/>
      <c r="AC134" s="400"/>
      <c r="AD134" s="400"/>
      <c r="AE134" s="400"/>
      <c r="AF134" s="400"/>
      <c r="AG134" s="400"/>
      <c r="AH134" s="400"/>
      <c r="AI134" s="400"/>
    </row>
    <row r="135" spans="5:35">
      <c r="E135" s="401"/>
      <c r="F135" s="401"/>
      <c r="G135" s="401"/>
      <c r="H135" s="401"/>
      <c r="I135" s="401"/>
      <c r="J135" s="401"/>
      <c r="K135" s="401"/>
      <c r="L135" s="401"/>
      <c r="M135" s="401"/>
      <c r="N135" s="401"/>
      <c r="O135" s="401"/>
      <c r="P135" s="401"/>
      <c r="Q135" s="401"/>
      <c r="R135" s="401"/>
      <c r="S135" s="399"/>
      <c r="T135" s="399"/>
      <c r="U135" s="399"/>
      <c r="V135" s="399"/>
      <c r="W135" s="400"/>
      <c r="X135" s="400"/>
      <c r="Y135" s="400"/>
      <c r="Z135" s="400"/>
      <c r="AA135" s="400"/>
      <c r="AB135" s="400"/>
      <c r="AC135" s="400"/>
      <c r="AD135" s="400"/>
      <c r="AE135" s="400"/>
      <c r="AF135" s="400"/>
      <c r="AG135" s="400"/>
      <c r="AH135" s="400"/>
      <c r="AI135" s="400"/>
    </row>
    <row r="136" spans="5:35">
      <c r="E136" s="401"/>
      <c r="F136" s="401"/>
      <c r="G136" s="401"/>
      <c r="H136" s="401"/>
      <c r="I136" s="401"/>
      <c r="J136" s="401"/>
      <c r="K136" s="401"/>
      <c r="L136" s="401"/>
      <c r="M136" s="401"/>
      <c r="N136" s="401"/>
      <c r="O136" s="401"/>
      <c r="P136" s="401"/>
      <c r="Q136" s="401"/>
      <c r="R136" s="401"/>
      <c r="S136" s="399"/>
      <c r="T136" s="399"/>
      <c r="U136" s="399"/>
      <c r="V136" s="399"/>
      <c r="W136" s="400"/>
      <c r="X136" s="400"/>
      <c r="Y136" s="400"/>
      <c r="Z136" s="400"/>
      <c r="AA136" s="400"/>
      <c r="AB136" s="400"/>
      <c r="AC136" s="400"/>
      <c r="AD136" s="400"/>
      <c r="AE136" s="400"/>
      <c r="AF136" s="400"/>
      <c r="AG136" s="400"/>
      <c r="AH136" s="400"/>
      <c r="AI136" s="400"/>
    </row>
    <row r="137" spans="5:35">
      <c r="E137" s="401"/>
      <c r="F137" s="401"/>
      <c r="G137" s="401"/>
      <c r="H137" s="401"/>
      <c r="I137" s="401"/>
      <c r="J137" s="401"/>
      <c r="K137" s="401"/>
      <c r="L137" s="401"/>
      <c r="M137" s="401"/>
      <c r="N137" s="401"/>
      <c r="O137" s="401"/>
      <c r="P137" s="401"/>
      <c r="Q137" s="401"/>
      <c r="R137" s="401"/>
      <c r="S137" s="399"/>
      <c r="T137" s="399"/>
      <c r="U137" s="399"/>
      <c r="V137" s="399"/>
      <c r="W137" s="400"/>
      <c r="X137" s="400"/>
      <c r="Y137" s="400"/>
      <c r="Z137" s="400"/>
      <c r="AA137" s="400"/>
      <c r="AB137" s="400"/>
      <c r="AC137" s="400"/>
      <c r="AD137" s="400"/>
      <c r="AE137" s="400"/>
      <c r="AF137" s="400"/>
      <c r="AG137" s="400"/>
      <c r="AH137" s="400"/>
      <c r="AI137" s="400"/>
    </row>
    <row r="138" spans="5:35">
      <c r="E138" s="401"/>
      <c r="F138" s="401"/>
      <c r="G138" s="401"/>
      <c r="H138" s="401"/>
      <c r="I138" s="401"/>
      <c r="J138" s="401"/>
      <c r="K138" s="401"/>
      <c r="L138" s="401"/>
      <c r="M138" s="401"/>
      <c r="N138" s="401"/>
      <c r="O138" s="401"/>
      <c r="P138" s="401"/>
      <c r="Q138" s="401"/>
      <c r="R138" s="401"/>
      <c r="S138" s="399"/>
      <c r="T138" s="399"/>
      <c r="U138" s="399"/>
      <c r="V138" s="399"/>
      <c r="W138" s="400"/>
      <c r="X138" s="400"/>
      <c r="Y138" s="400"/>
      <c r="Z138" s="400"/>
      <c r="AA138" s="400"/>
      <c r="AB138" s="400"/>
      <c r="AC138" s="400"/>
      <c r="AD138" s="400"/>
      <c r="AE138" s="400"/>
      <c r="AF138" s="400"/>
      <c r="AG138" s="400"/>
      <c r="AH138" s="400"/>
      <c r="AI138" s="400"/>
    </row>
    <row r="139" spans="5:35"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6"/>
      <c r="T139" s="16"/>
      <c r="U139" s="16"/>
      <c r="V139" s="16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</row>
    <row r="140" spans="5:35"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6"/>
      <c r="T140" s="16"/>
      <c r="U140" s="16"/>
      <c r="V140" s="16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</row>
    <row r="141" spans="5:35"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6"/>
      <c r="T141" s="16"/>
      <c r="U141" s="16"/>
      <c r="V141" s="16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</row>
    <row r="142" spans="5:35"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6"/>
      <c r="T142" s="16"/>
      <c r="U142" s="16"/>
      <c r="V142" s="16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</row>
    <row r="143" spans="5:35"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6"/>
      <c r="T143" s="16"/>
      <c r="U143" s="16"/>
      <c r="V143" s="16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</row>
    <row r="144" spans="5:35"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6"/>
      <c r="T144" s="16"/>
      <c r="U144" s="16"/>
      <c r="V144" s="16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</row>
    <row r="145" spans="5:35"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6"/>
      <c r="T145" s="16"/>
      <c r="U145" s="16"/>
      <c r="V145" s="16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</row>
    <row r="146" spans="5:35"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6"/>
      <c r="T146" s="16"/>
      <c r="U146" s="16"/>
      <c r="V146" s="16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</row>
    <row r="147" spans="5:35"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6"/>
      <c r="T147" s="16"/>
      <c r="U147" s="16"/>
      <c r="V147" s="16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</row>
    <row r="148" spans="5:35"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6"/>
      <c r="T148" s="16"/>
      <c r="U148" s="16"/>
      <c r="V148" s="16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</row>
    <row r="149" spans="5:35"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6"/>
      <c r="T149" s="16"/>
      <c r="U149" s="16"/>
      <c r="V149" s="16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</row>
    <row r="150" spans="5:35"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6"/>
      <c r="T150" s="16"/>
      <c r="U150" s="16"/>
      <c r="V150" s="16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</row>
    <row r="151" spans="5:35"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6"/>
      <c r="T151" s="16"/>
      <c r="U151" s="16"/>
      <c r="V151" s="16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</row>
    <row r="152" spans="5:35"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6"/>
      <c r="T152" s="16"/>
      <c r="U152" s="16"/>
      <c r="V152" s="16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</row>
    <row r="153" spans="5:35"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6"/>
      <c r="T153" s="16"/>
      <c r="U153" s="16"/>
      <c r="V153" s="16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</row>
    <row r="154" spans="5:35"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6"/>
      <c r="T154" s="16"/>
      <c r="U154" s="16"/>
      <c r="V154" s="16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</row>
    <row r="155" spans="5:35"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6"/>
      <c r="T155" s="16"/>
      <c r="U155" s="16"/>
      <c r="V155" s="16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</row>
    <row r="156" spans="5:35"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6"/>
      <c r="T156" s="16"/>
      <c r="U156" s="16"/>
      <c r="V156" s="16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</row>
    <row r="157" spans="5:35"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6"/>
      <c r="T157" s="16"/>
      <c r="U157" s="16"/>
      <c r="V157" s="16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</row>
    <row r="158" spans="5:35"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6"/>
      <c r="T158" s="16"/>
      <c r="U158" s="16"/>
      <c r="V158" s="16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</row>
    <row r="159" spans="5:35"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6"/>
      <c r="T159" s="16"/>
      <c r="U159" s="16"/>
      <c r="V159" s="16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</row>
    <row r="160" spans="5:35"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6"/>
      <c r="T160" s="16"/>
      <c r="U160" s="16"/>
      <c r="V160" s="16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</row>
    <row r="161" spans="5:35"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6"/>
      <c r="T161" s="16"/>
      <c r="U161" s="16"/>
      <c r="V161" s="16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</row>
    <row r="162" spans="5:35"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6"/>
      <c r="T162" s="16"/>
      <c r="U162" s="16"/>
      <c r="V162" s="16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</row>
    <row r="163" spans="5:35"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6"/>
      <c r="T163" s="16"/>
      <c r="U163" s="16"/>
      <c r="V163" s="16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</row>
    <row r="164" spans="5:35"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6"/>
      <c r="T164" s="16"/>
      <c r="U164" s="16"/>
      <c r="V164" s="16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</row>
    <row r="165" spans="5:35"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6"/>
      <c r="T165" s="16"/>
      <c r="U165" s="16"/>
      <c r="V165" s="16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</row>
    <row r="166" spans="5:35"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6"/>
      <c r="T166" s="16"/>
      <c r="U166" s="16"/>
      <c r="V166" s="16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</row>
    <row r="167" spans="5:35"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6"/>
      <c r="T167" s="16"/>
      <c r="U167" s="16"/>
      <c r="V167" s="16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</row>
    <row r="168" spans="5:35"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6"/>
      <c r="T168" s="16"/>
      <c r="U168" s="16"/>
      <c r="V168" s="16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</row>
    <row r="169" spans="5:35"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6"/>
      <c r="T169" s="16"/>
      <c r="U169" s="16"/>
      <c r="V169" s="16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</row>
    <row r="170" spans="5:35"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6"/>
      <c r="T170" s="16"/>
      <c r="U170" s="16"/>
      <c r="V170" s="16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</row>
    <row r="171" spans="5:35"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6"/>
      <c r="T171" s="16"/>
      <c r="U171" s="16"/>
      <c r="V171" s="16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</row>
    <row r="172" spans="5:35"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6"/>
      <c r="T172" s="16"/>
      <c r="U172" s="16"/>
      <c r="V172" s="16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</row>
    <row r="173" spans="5:35"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6"/>
      <c r="T173" s="16"/>
      <c r="U173" s="16"/>
      <c r="V173" s="16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</row>
    <row r="174" spans="5:35"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6"/>
      <c r="T174" s="16"/>
      <c r="U174" s="16"/>
      <c r="V174" s="16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</row>
    <row r="175" spans="5:35"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6"/>
      <c r="T175" s="16"/>
      <c r="U175" s="16"/>
      <c r="V175" s="16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</row>
    <row r="176" spans="5:35"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6"/>
      <c r="T176" s="16"/>
      <c r="U176" s="16"/>
      <c r="V176" s="16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</row>
    <row r="177" spans="5:35"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6"/>
      <c r="T177" s="16"/>
      <c r="U177" s="16"/>
      <c r="V177" s="16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</row>
    <row r="178" spans="5:35"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6"/>
      <c r="T178" s="16"/>
      <c r="U178" s="16"/>
      <c r="V178" s="16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</row>
    <row r="179" spans="5:35"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6"/>
      <c r="T179" s="16"/>
      <c r="U179" s="16"/>
      <c r="V179" s="16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</row>
    <row r="180" spans="5:35"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6"/>
      <c r="T180" s="16"/>
      <c r="U180" s="16"/>
      <c r="V180" s="16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</row>
    <row r="181" spans="5:35"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6"/>
      <c r="T181" s="16"/>
      <c r="U181" s="16"/>
      <c r="V181" s="16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</row>
    <row r="182" spans="5:35"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6"/>
      <c r="T182" s="16"/>
      <c r="U182" s="16"/>
      <c r="V182" s="16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</row>
    <row r="183" spans="5:35"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6"/>
      <c r="T183" s="16"/>
      <c r="U183" s="16"/>
      <c r="V183" s="16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</row>
    <row r="184" spans="5:35"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6"/>
      <c r="T184" s="16"/>
      <c r="U184" s="16"/>
      <c r="V184" s="16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</row>
    <row r="185" spans="5:35"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6"/>
      <c r="T185" s="16"/>
      <c r="U185" s="16"/>
      <c r="V185" s="16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</row>
    <row r="186" spans="5:35"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6"/>
      <c r="T186" s="16"/>
      <c r="U186" s="16"/>
      <c r="V186" s="16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</row>
    <row r="187" spans="5:35"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6"/>
      <c r="T187" s="16"/>
      <c r="U187" s="16"/>
      <c r="V187" s="16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</row>
    <row r="188" spans="5:35"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6"/>
      <c r="T188" s="16"/>
      <c r="U188" s="16"/>
      <c r="V188" s="16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</row>
    <row r="189" spans="5:35"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6"/>
      <c r="T189" s="16"/>
      <c r="U189" s="16"/>
      <c r="V189" s="16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</row>
    <row r="190" spans="5:35"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6"/>
      <c r="T190" s="16"/>
      <c r="U190" s="16"/>
      <c r="V190" s="16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</row>
    <row r="191" spans="5:35"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6"/>
      <c r="T191" s="16"/>
      <c r="U191" s="16"/>
      <c r="V191" s="16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</row>
    <row r="192" spans="5:35"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6"/>
      <c r="T192" s="16"/>
      <c r="U192" s="16"/>
      <c r="V192" s="16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</row>
    <row r="193" spans="5:35"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6"/>
      <c r="T193" s="16"/>
      <c r="U193" s="16"/>
      <c r="V193" s="16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</row>
    <row r="194" spans="5:35"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6"/>
      <c r="T194" s="16"/>
      <c r="U194" s="16"/>
      <c r="V194" s="16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</row>
    <row r="195" spans="5:35"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</row>
    <row r="196" spans="5:35"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</row>
    <row r="197" spans="5:35"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</row>
    <row r="198" spans="5:35"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</row>
    <row r="199" spans="5:35"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</row>
    <row r="200" spans="5:35"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</row>
    <row r="201" spans="5:35"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</row>
    <row r="202" spans="5:35"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</row>
    <row r="203" spans="5:35"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</row>
    <row r="204" spans="5:35"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</row>
    <row r="205" spans="5:35"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</row>
    <row r="206" spans="5:35"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</row>
    <row r="207" spans="5:35"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</row>
    <row r="208" spans="5:35"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</row>
    <row r="209" spans="5:18"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</row>
    <row r="210" spans="5:18"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</row>
  </sheetData>
  <mergeCells count="48">
    <mergeCell ref="T62:T63"/>
    <mergeCell ref="P3:P4"/>
    <mergeCell ref="AH3:AH4"/>
    <mergeCell ref="A45:C61"/>
    <mergeCell ref="S59:S60"/>
    <mergeCell ref="C62:C64"/>
    <mergeCell ref="E62:F64"/>
    <mergeCell ref="S62:S63"/>
    <mergeCell ref="AA3:AA4"/>
    <mergeCell ref="AB3:AB4"/>
    <mergeCell ref="Q3:Q4"/>
    <mergeCell ref="R3:R4"/>
    <mergeCell ref="S3:S4"/>
    <mergeCell ref="T3:T4"/>
    <mergeCell ref="A6:A7"/>
    <mergeCell ref="S24:S25"/>
    <mergeCell ref="A26:A27"/>
    <mergeCell ref="AC3:AC4"/>
    <mergeCell ref="AD3:AD4"/>
    <mergeCell ref="W3:W4"/>
    <mergeCell ref="X3:X4"/>
    <mergeCell ref="Y3:Y4"/>
    <mergeCell ref="Z3:Z4"/>
    <mergeCell ref="N3:N4"/>
    <mergeCell ref="O3:O4"/>
    <mergeCell ref="AJ3:AJ4"/>
    <mergeCell ref="A5:C5"/>
    <mergeCell ref="S5:U5"/>
    <mergeCell ref="AE3:AE4"/>
    <mergeCell ref="AF3:AF4"/>
    <mergeCell ref="AG3:AG4"/>
    <mergeCell ref="AI3:AI4"/>
    <mergeCell ref="A1:A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U3:U4"/>
    <mergeCell ref="V3:V4"/>
    <mergeCell ref="J3:J4"/>
    <mergeCell ref="K3:K4"/>
    <mergeCell ref="L3:L4"/>
    <mergeCell ref="M3:M4"/>
  </mergeCells>
  <phoneticPr fontId="2" type="noConversion"/>
  <pageMargins left="0.55118110236220474" right="0.19685039370078741" top="0.27559055118110237" bottom="0.15748031496062992" header="0.23622047244094491" footer="0.15748031496062992"/>
  <pageSetup paperSize="9" scale="53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22F4-0658-4715-A31C-3772E5F08218}">
  <sheetPr>
    <pageSetUpPr fitToPage="1"/>
  </sheetPr>
  <dimension ref="A1:U72"/>
  <sheetViews>
    <sheetView topLeftCell="A67" zoomScaleNormal="100" workbookViewId="0">
      <selection activeCell="X8" sqref="X8"/>
    </sheetView>
  </sheetViews>
  <sheetFormatPr defaultRowHeight="13.5"/>
  <cols>
    <col min="1" max="1" width="3.33203125" style="21" customWidth="1"/>
    <col min="2" max="2" width="3.6640625" style="21" customWidth="1"/>
    <col min="3" max="3" width="23.6640625" style="21" customWidth="1"/>
    <col min="4" max="4" width="11" style="21" hidden="1" customWidth="1"/>
    <col min="5" max="7" width="11" style="22" hidden="1" customWidth="1"/>
    <col min="8" max="8" width="0.109375" style="22" hidden="1" customWidth="1"/>
    <col min="9" max="12" width="10.5546875" style="22" hidden="1" customWidth="1"/>
    <col min="13" max="15" width="9.44140625" style="22" hidden="1" customWidth="1"/>
    <col min="16" max="16" width="10.5546875" style="22" customWidth="1"/>
    <col min="17" max="17" width="9.88671875" style="22" customWidth="1"/>
    <col min="18" max="18" width="10" style="22" customWidth="1"/>
    <col min="19" max="19" width="40.88671875" style="21" bestFit="1" customWidth="1"/>
    <col min="20" max="20" width="12.6640625" style="2" customWidth="1"/>
    <col min="21" max="21" width="14.77734375" style="2" customWidth="1"/>
    <col min="22" max="16384" width="8.88671875" style="21"/>
  </cols>
  <sheetData>
    <row r="1" spans="1:21" ht="39" customHeight="1">
      <c r="A1" s="615" t="s">
        <v>612</v>
      </c>
      <c r="B1" s="615"/>
      <c r="C1" s="615"/>
      <c r="D1" s="615"/>
      <c r="E1" s="615"/>
      <c r="F1" s="615"/>
      <c r="G1" s="615"/>
      <c r="H1" s="615"/>
      <c r="I1" s="615"/>
      <c r="J1" s="615"/>
      <c r="K1" s="615"/>
      <c r="L1" s="615"/>
      <c r="M1" s="615"/>
      <c r="N1" s="615"/>
      <c r="O1" s="615"/>
      <c r="P1" s="615"/>
      <c r="Q1" s="615"/>
      <c r="R1" s="615"/>
      <c r="S1" s="615"/>
      <c r="T1" s="615"/>
      <c r="U1" s="615"/>
    </row>
    <row r="2" spans="1:21" s="1" customFormat="1" ht="25.5" customHeight="1" thickBot="1">
      <c r="A2" s="402" t="s">
        <v>57</v>
      </c>
      <c r="B2" s="403"/>
      <c r="C2" s="403"/>
      <c r="D2" s="403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U2" s="404" t="s">
        <v>126</v>
      </c>
    </row>
    <row r="3" spans="1:21" ht="30" customHeight="1" thickBot="1">
      <c r="A3" s="405" t="s">
        <v>3</v>
      </c>
      <c r="B3" s="406" t="s">
        <v>4</v>
      </c>
      <c r="C3" s="407" t="s">
        <v>5</v>
      </c>
      <c r="D3" s="115" t="s">
        <v>176</v>
      </c>
      <c r="E3" s="130" t="s">
        <v>177</v>
      </c>
      <c r="F3" s="130" t="s">
        <v>185</v>
      </c>
      <c r="G3" s="130" t="s">
        <v>179</v>
      </c>
      <c r="H3" s="130" t="s">
        <v>180</v>
      </c>
      <c r="I3" s="130" t="s">
        <v>205</v>
      </c>
      <c r="J3" s="130" t="s">
        <v>270</v>
      </c>
      <c r="K3" s="130" t="s">
        <v>185</v>
      </c>
      <c r="L3" s="130" t="s">
        <v>282</v>
      </c>
      <c r="M3" s="130" t="s">
        <v>283</v>
      </c>
      <c r="N3" s="130" t="s">
        <v>405</v>
      </c>
      <c r="O3" s="130" t="s">
        <v>406</v>
      </c>
      <c r="P3" s="130" t="s">
        <v>332</v>
      </c>
      <c r="Q3" s="130" t="s">
        <v>311</v>
      </c>
      <c r="R3" s="408" t="s">
        <v>178</v>
      </c>
      <c r="S3" s="616" t="s">
        <v>58</v>
      </c>
      <c r="T3" s="617"/>
      <c r="U3" s="618"/>
    </row>
    <row r="4" spans="1:21" ht="30" customHeight="1" thickTop="1">
      <c r="A4" s="619" t="s">
        <v>59</v>
      </c>
      <c r="B4" s="620"/>
      <c r="C4" s="620"/>
      <c r="D4" s="116">
        <f t="shared" ref="D4:Q4" si="0">D5+D29+D37+D40+D51+D55</f>
        <v>548206000</v>
      </c>
      <c r="E4" s="131">
        <f t="shared" si="0"/>
        <v>554916000</v>
      </c>
      <c r="F4" s="131">
        <f t="shared" si="0"/>
        <v>546098000</v>
      </c>
      <c r="G4" s="131">
        <f t="shared" si="0"/>
        <v>548206000</v>
      </c>
      <c r="H4" s="131">
        <f t="shared" si="0"/>
        <v>558482000</v>
      </c>
      <c r="I4" s="131">
        <f t="shared" si="0"/>
        <v>623850000</v>
      </c>
      <c r="J4" s="131">
        <f t="shared" si="0"/>
        <v>621258000</v>
      </c>
      <c r="K4" s="131">
        <f t="shared" si="0"/>
        <v>734793000</v>
      </c>
      <c r="L4" s="131">
        <f t="shared" si="0"/>
        <v>2478704000</v>
      </c>
      <c r="M4" s="131">
        <f t="shared" si="0"/>
        <v>3115068000</v>
      </c>
      <c r="N4" s="131">
        <f t="shared" si="0"/>
        <v>3163015000</v>
      </c>
      <c r="O4" s="131">
        <f t="shared" si="0"/>
        <v>3157791000</v>
      </c>
      <c r="P4" s="131">
        <f t="shared" si="0"/>
        <v>3150827000</v>
      </c>
      <c r="Q4" s="131">
        <f t="shared" si="0"/>
        <v>3197042000</v>
      </c>
      <c r="R4" s="409">
        <f>Q4-P4</f>
        <v>46215000</v>
      </c>
      <c r="S4" s="410"/>
      <c r="T4" s="64"/>
      <c r="U4" s="65"/>
    </row>
    <row r="5" spans="1:21" ht="30" customHeight="1">
      <c r="A5" s="621" t="s">
        <v>28</v>
      </c>
      <c r="B5" s="622"/>
      <c r="C5" s="623"/>
      <c r="D5" s="220">
        <f t="shared" ref="D5:Q6" si="1">D6</f>
        <v>343950000</v>
      </c>
      <c r="E5" s="221">
        <f t="shared" si="1"/>
        <v>353320000</v>
      </c>
      <c r="F5" s="221">
        <f t="shared" si="1"/>
        <v>353320000</v>
      </c>
      <c r="G5" s="221">
        <f t="shared" si="1"/>
        <v>343950000</v>
      </c>
      <c r="H5" s="216">
        <f t="shared" si="1"/>
        <v>353320000</v>
      </c>
      <c r="I5" s="217">
        <f t="shared" si="1"/>
        <v>461320000</v>
      </c>
      <c r="J5" s="217">
        <f t="shared" si="1"/>
        <v>461320000</v>
      </c>
      <c r="K5" s="217">
        <f t="shared" si="1"/>
        <v>559895000</v>
      </c>
      <c r="L5" s="222">
        <f t="shared" si="1"/>
        <v>2252823000</v>
      </c>
      <c r="M5" s="170">
        <f t="shared" si="1"/>
        <v>2882583000</v>
      </c>
      <c r="N5" s="170">
        <f t="shared" si="1"/>
        <v>2893190000</v>
      </c>
      <c r="O5" s="170">
        <f t="shared" si="1"/>
        <v>2899740000</v>
      </c>
      <c r="P5" s="170">
        <f t="shared" si="1"/>
        <v>2899740000</v>
      </c>
      <c r="Q5" s="170">
        <f t="shared" si="1"/>
        <v>2914540000</v>
      </c>
      <c r="R5" s="411">
        <f>Q5-P5</f>
        <v>14800000</v>
      </c>
      <c r="S5" s="412"/>
      <c r="T5" s="65"/>
      <c r="U5" s="65"/>
    </row>
    <row r="6" spans="1:21" ht="30" customHeight="1">
      <c r="A6" s="413"/>
      <c r="B6" s="624" t="s">
        <v>28</v>
      </c>
      <c r="C6" s="625"/>
      <c r="D6" s="118">
        <f>D7</f>
        <v>343950000</v>
      </c>
      <c r="E6" s="133">
        <f>E7</f>
        <v>353320000</v>
      </c>
      <c r="F6" s="133">
        <f>F7</f>
        <v>353320000</v>
      </c>
      <c r="G6" s="133">
        <f>G7</f>
        <v>343950000</v>
      </c>
      <c r="H6" s="133">
        <f>H7</f>
        <v>353320000</v>
      </c>
      <c r="I6" s="134">
        <f t="shared" si="1"/>
        <v>461320000</v>
      </c>
      <c r="J6" s="134">
        <f t="shared" si="1"/>
        <v>461320000</v>
      </c>
      <c r="K6" s="134">
        <f t="shared" si="1"/>
        <v>559895000</v>
      </c>
      <c r="L6" s="134">
        <f t="shared" ref="L6:Q6" si="2">L7+L23</f>
        <v>2252823000</v>
      </c>
      <c r="M6" s="134">
        <f t="shared" si="2"/>
        <v>2882583000</v>
      </c>
      <c r="N6" s="134">
        <f t="shared" si="2"/>
        <v>2893190000</v>
      </c>
      <c r="O6" s="134">
        <f t="shared" si="2"/>
        <v>2899740000</v>
      </c>
      <c r="P6" s="134">
        <f t="shared" si="2"/>
        <v>2899740000</v>
      </c>
      <c r="Q6" s="134">
        <f t="shared" si="2"/>
        <v>2914540000</v>
      </c>
      <c r="R6" s="411">
        <f t="shared" ref="R6:R8" si="3">Q6-P6</f>
        <v>14800000</v>
      </c>
      <c r="S6" s="414"/>
      <c r="T6" s="67"/>
      <c r="U6" s="67"/>
    </row>
    <row r="7" spans="1:21" ht="30" customHeight="1">
      <c r="A7" s="413"/>
      <c r="B7" s="415"/>
      <c r="C7" s="416" t="s">
        <v>132</v>
      </c>
      <c r="D7" s="118">
        <f t="shared" ref="D7" si="4">SUM(D8:D10)</f>
        <v>343950000</v>
      </c>
      <c r="E7" s="133">
        <f t="shared" ref="E7:K7" si="5">SUM(E8:E10)</f>
        <v>353320000</v>
      </c>
      <c r="F7" s="133">
        <f t="shared" si="5"/>
        <v>353320000</v>
      </c>
      <c r="G7" s="133">
        <f t="shared" si="5"/>
        <v>343950000</v>
      </c>
      <c r="H7" s="133">
        <f t="shared" si="5"/>
        <v>353320000</v>
      </c>
      <c r="I7" s="133">
        <f t="shared" si="5"/>
        <v>461320000</v>
      </c>
      <c r="J7" s="133">
        <f t="shared" si="5"/>
        <v>461320000</v>
      </c>
      <c r="K7" s="133">
        <f t="shared" si="5"/>
        <v>559895000</v>
      </c>
      <c r="L7" s="133">
        <f t="shared" ref="L7:Q7" si="6">SUM(L8:L22)</f>
        <v>2247783000</v>
      </c>
      <c r="M7" s="133">
        <f t="shared" si="6"/>
        <v>2877693000</v>
      </c>
      <c r="N7" s="133">
        <f t="shared" si="6"/>
        <v>2886700000</v>
      </c>
      <c r="O7" s="133">
        <f t="shared" si="6"/>
        <v>2886700000</v>
      </c>
      <c r="P7" s="133">
        <f t="shared" si="6"/>
        <v>2886700000</v>
      </c>
      <c r="Q7" s="133">
        <f t="shared" si="6"/>
        <v>2914040000</v>
      </c>
      <c r="R7" s="411">
        <f t="shared" si="3"/>
        <v>27340000</v>
      </c>
      <c r="S7" s="414"/>
      <c r="T7" s="67"/>
      <c r="U7" s="67"/>
    </row>
    <row r="8" spans="1:21" ht="30" customHeight="1">
      <c r="A8" s="413"/>
      <c r="B8" s="417"/>
      <c r="C8" s="418" t="s">
        <v>153</v>
      </c>
      <c r="D8" s="119">
        <v>330750000</v>
      </c>
      <c r="E8" s="134">
        <v>340000000</v>
      </c>
      <c r="F8" s="134">
        <v>340000000</v>
      </c>
      <c r="G8" s="134">
        <v>330750000</v>
      </c>
      <c r="H8" s="134">
        <v>340000000</v>
      </c>
      <c r="I8" s="134">
        <v>448000000</v>
      </c>
      <c r="J8" s="134">
        <v>448000000</v>
      </c>
      <c r="K8" s="134">
        <f>T8</f>
        <v>546575000</v>
      </c>
      <c r="L8" s="134">
        <v>515200000</v>
      </c>
      <c r="M8" s="134">
        <v>530656000</v>
      </c>
      <c r="N8" s="134">
        <v>530656000</v>
      </c>
      <c r="O8" s="134">
        <v>530656000</v>
      </c>
      <c r="P8" s="134">
        <v>530656000</v>
      </c>
      <c r="Q8" s="134">
        <f>U8</f>
        <v>546575000</v>
      </c>
      <c r="R8" s="411">
        <f t="shared" si="3"/>
        <v>15919000</v>
      </c>
      <c r="S8" s="419" t="s">
        <v>540</v>
      </c>
      <c r="T8" s="68">
        <v>546575000</v>
      </c>
      <c r="U8" s="68">
        <v>546575000</v>
      </c>
    </row>
    <row r="9" spans="1:21" ht="31.5" customHeight="1">
      <c r="A9" s="413"/>
      <c r="B9" s="417"/>
      <c r="C9" s="420" t="s">
        <v>154</v>
      </c>
      <c r="D9" s="120">
        <v>13200000</v>
      </c>
      <c r="E9" s="135">
        <v>13320000</v>
      </c>
      <c r="F9" s="135">
        <v>13320000</v>
      </c>
      <c r="G9" s="135">
        <v>13200000</v>
      </c>
      <c r="H9" s="135">
        <v>13320000</v>
      </c>
      <c r="I9" s="135">
        <v>13320000</v>
      </c>
      <c r="J9" s="135">
        <v>13320000</v>
      </c>
      <c r="K9" s="135">
        <v>13320000</v>
      </c>
      <c r="L9" s="135">
        <v>13320000</v>
      </c>
      <c r="M9" s="135">
        <v>13320000</v>
      </c>
      <c r="N9" s="135">
        <v>13320000</v>
      </c>
      <c r="O9" s="135">
        <v>13320000</v>
      </c>
      <c r="P9" s="135">
        <v>13320000</v>
      </c>
      <c r="Q9" s="135">
        <f>U9</f>
        <v>13320000</v>
      </c>
      <c r="R9" s="69">
        <f>Q9-P9</f>
        <v>0</v>
      </c>
      <c r="S9" s="421" t="s">
        <v>541</v>
      </c>
      <c r="T9" s="70">
        <v>9000000</v>
      </c>
      <c r="U9" s="70">
        <f>SUM(T9:T10)</f>
        <v>13320000</v>
      </c>
    </row>
    <row r="10" spans="1:21" ht="30" customHeight="1">
      <c r="A10" s="422"/>
      <c r="B10" s="423"/>
      <c r="C10" s="424"/>
      <c r="D10" s="119"/>
      <c r="E10" s="134"/>
      <c r="F10" s="134"/>
      <c r="G10" s="134"/>
      <c r="H10" s="134"/>
      <c r="I10" s="134"/>
      <c r="J10" s="134"/>
      <c r="K10" s="134"/>
      <c r="L10" s="134"/>
      <c r="M10" s="134"/>
      <c r="N10" s="134"/>
      <c r="O10" s="134"/>
      <c r="P10" s="134"/>
      <c r="Q10" s="134"/>
      <c r="R10" s="66"/>
      <c r="S10" s="425" t="s">
        <v>542</v>
      </c>
      <c r="T10" s="65">
        <v>4320000</v>
      </c>
      <c r="U10" s="65"/>
    </row>
    <row r="11" spans="1:21" ht="30" customHeight="1">
      <c r="A11" s="413"/>
      <c r="B11" s="417"/>
      <c r="C11" s="426" t="s">
        <v>446</v>
      </c>
      <c r="D11" s="119"/>
      <c r="E11" s="134"/>
      <c r="F11" s="134"/>
      <c r="G11" s="134"/>
      <c r="H11" s="134"/>
      <c r="I11" s="134">
        <v>25000000</v>
      </c>
      <c r="J11" s="134">
        <v>25000000</v>
      </c>
      <c r="K11" s="134">
        <v>25000000</v>
      </c>
      <c r="L11" s="134">
        <v>25000000</v>
      </c>
      <c r="M11" s="134">
        <v>25000000</v>
      </c>
      <c r="N11" s="134">
        <v>25000000</v>
      </c>
      <c r="O11" s="134">
        <v>25000000</v>
      </c>
      <c r="P11" s="134">
        <v>25000000</v>
      </c>
      <c r="Q11" s="134">
        <f>U11</f>
        <v>25000000</v>
      </c>
      <c r="R11" s="66">
        <f>Q11-P11</f>
        <v>0</v>
      </c>
      <c r="S11" s="425" t="s">
        <v>446</v>
      </c>
      <c r="T11" s="65">
        <v>25000000</v>
      </c>
      <c r="U11" s="65">
        <f>T11</f>
        <v>25000000</v>
      </c>
    </row>
    <row r="12" spans="1:21" ht="30" customHeight="1">
      <c r="A12" s="413"/>
      <c r="B12" s="417"/>
      <c r="C12" s="426" t="s">
        <v>447</v>
      </c>
      <c r="D12" s="119"/>
      <c r="E12" s="134"/>
      <c r="F12" s="134"/>
      <c r="G12" s="134"/>
      <c r="H12" s="134"/>
      <c r="I12" s="134">
        <v>39000000</v>
      </c>
      <c r="J12" s="134">
        <v>39000000</v>
      </c>
      <c r="K12" s="134">
        <v>39000000</v>
      </c>
      <c r="L12" s="134">
        <v>39000000</v>
      </c>
      <c r="M12" s="134">
        <v>39000000</v>
      </c>
      <c r="N12" s="134">
        <v>39000000</v>
      </c>
      <c r="O12" s="134">
        <v>39000000</v>
      </c>
      <c r="P12" s="134">
        <v>39000000</v>
      </c>
      <c r="Q12" s="134">
        <f t="shared" ref="Q12:Q28" si="7">U12</f>
        <v>39325000</v>
      </c>
      <c r="R12" s="66">
        <f t="shared" ref="R12:R13" si="8">Q12-P12</f>
        <v>325000</v>
      </c>
      <c r="S12" s="425" t="s">
        <v>558</v>
      </c>
      <c r="T12" s="65">
        <f>2500*242*65</f>
        <v>39325000</v>
      </c>
      <c r="U12" s="65">
        <f>SUM(T12)</f>
        <v>39325000</v>
      </c>
    </row>
    <row r="13" spans="1:21" ht="30" customHeight="1">
      <c r="A13" s="413"/>
      <c r="B13" s="417"/>
      <c r="C13" s="426" t="s">
        <v>448</v>
      </c>
      <c r="D13" s="119"/>
      <c r="E13" s="134"/>
      <c r="F13" s="134"/>
      <c r="G13" s="134"/>
      <c r="H13" s="134"/>
      <c r="I13" s="134">
        <v>10320000</v>
      </c>
      <c r="J13" s="134">
        <v>10320000</v>
      </c>
      <c r="K13" s="134">
        <v>10320000</v>
      </c>
      <c r="L13" s="134">
        <v>10320000</v>
      </c>
      <c r="M13" s="134">
        <v>10320000</v>
      </c>
      <c r="N13" s="134">
        <v>15000000</v>
      </c>
      <c r="O13" s="134">
        <v>15000000</v>
      </c>
      <c r="P13" s="134">
        <v>15000000</v>
      </c>
      <c r="Q13" s="134">
        <f t="shared" si="7"/>
        <v>15093000</v>
      </c>
      <c r="R13" s="66">
        <f t="shared" si="8"/>
        <v>93000</v>
      </c>
      <c r="S13" s="425" t="s">
        <v>449</v>
      </c>
      <c r="T13" s="65">
        <v>15093000</v>
      </c>
      <c r="U13" s="65">
        <f>SUM(T13)</f>
        <v>15093000</v>
      </c>
    </row>
    <row r="14" spans="1:21" ht="30" customHeight="1">
      <c r="A14" s="413"/>
      <c r="B14" s="417"/>
      <c r="C14" s="420" t="s">
        <v>450</v>
      </c>
      <c r="D14" s="120"/>
      <c r="E14" s="135"/>
      <c r="F14" s="135"/>
      <c r="G14" s="135"/>
      <c r="H14" s="135"/>
      <c r="I14" s="135">
        <v>864400000</v>
      </c>
      <c r="J14" s="135">
        <v>1275600000</v>
      </c>
      <c r="K14" s="135">
        <v>1279600000</v>
      </c>
      <c r="L14" s="135">
        <v>1279600000</v>
      </c>
      <c r="M14" s="143">
        <v>2036000000</v>
      </c>
      <c r="N14" s="143">
        <v>2037900000</v>
      </c>
      <c r="O14" s="143">
        <v>2037900000</v>
      </c>
      <c r="P14" s="143">
        <v>2037900000</v>
      </c>
      <c r="Q14" s="143">
        <f t="shared" si="7"/>
        <v>2037300000</v>
      </c>
      <c r="R14" s="69">
        <f>Q14-P14</f>
        <v>-600000</v>
      </c>
      <c r="S14" s="421" t="s">
        <v>451</v>
      </c>
      <c r="T14" s="70">
        <v>1984500000</v>
      </c>
      <c r="U14" s="70">
        <f>SUM(T14:T15)</f>
        <v>2037300000</v>
      </c>
    </row>
    <row r="15" spans="1:21" ht="30" customHeight="1">
      <c r="A15" s="413"/>
      <c r="B15" s="417"/>
      <c r="C15" s="426"/>
      <c r="D15" s="119"/>
      <c r="E15" s="134"/>
      <c r="F15" s="134"/>
      <c r="G15" s="134"/>
      <c r="H15" s="134"/>
      <c r="I15" s="134"/>
      <c r="J15" s="134"/>
      <c r="K15" s="134"/>
      <c r="L15" s="134"/>
      <c r="M15" s="134"/>
      <c r="N15" s="134">
        <v>0</v>
      </c>
      <c r="O15" s="134">
        <v>0</v>
      </c>
      <c r="P15" s="134">
        <v>0</v>
      </c>
      <c r="Q15" s="134">
        <f t="shared" si="7"/>
        <v>0</v>
      </c>
      <c r="R15" s="66"/>
      <c r="S15" s="425" t="s">
        <v>452</v>
      </c>
      <c r="T15" s="65">
        <v>52800000</v>
      </c>
      <c r="U15" s="65"/>
    </row>
    <row r="16" spans="1:21" ht="30" customHeight="1">
      <c r="A16" s="413"/>
      <c r="B16" s="417"/>
      <c r="C16" s="427" t="s">
        <v>453</v>
      </c>
      <c r="D16" s="119"/>
      <c r="E16" s="134"/>
      <c r="F16" s="134"/>
      <c r="G16" s="134"/>
      <c r="H16" s="134"/>
      <c r="I16" s="134">
        <v>40924000</v>
      </c>
      <c r="J16" s="134">
        <v>68055000</v>
      </c>
      <c r="K16" s="134">
        <v>68055000</v>
      </c>
      <c r="L16" s="134">
        <v>68055000</v>
      </c>
      <c r="M16" s="134">
        <v>120250000</v>
      </c>
      <c r="N16" s="134">
        <v>120250000</v>
      </c>
      <c r="O16" s="134">
        <v>120250000</v>
      </c>
      <c r="P16" s="134">
        <v>120250000</v>
      </c>
      <c r="Q16" s="134">
        <f t="shared" si="7"/>
        <v>122005000</v>
      </c>
      <c r="R16" s="66">
        <f>Q16-P16</f>
        <v>1755000</v>
      </c>
      <c r="S16" s="425" t="s">
        <v>561</v>
      </c>
      <c r="T16" s="65">
        <f>1877000*13*5</f>
        <v>122005000</v>
      </c>
      <c r="U16" s="65">
        <f>SUM(T16)</f>
        <v>122005000</v>
      </c>
    </row>
    <row r="17" spans="1:21" ht="30" customHeight="1">
      <c r="A17" s="413"/>
      <c r="B17" s="417"/>
      <c r="C17" s="480" t="s">
        <v>454</v>
      </c>
      <c r="D17" s="544"/>
      <c r="E17" s="142"/>
      <c r="F17" s="142"/>
      <c r="G17" s="142"/>
      <c r="H17" s="142"/>
      <c r="I17" s="142">
        <v>22234000</v>
      </c>
      <c r="J17" s="142">
        <v>24710000</v>
      </c>
      <c r="K17" s="142">
        <v>24710000</v>
      </c>
      <c r="L17" s="142">
        <v>24710000</v>
      </c>
      <c r="M17" s="142">
        <v>25641000</v>
      </c>
      <c r="N17" s="142">
        <v>27535000</v>
      </c>
      <c r="O17" s="142">
        <v>27535000</v>
      </c>
      <c r="P17" s="142">
        <v>27535000</v>
      </c>
      <c r="Q17" s="142">
        <f t="shared" si="7"/>
        <v>28060000</v>
      </c>
      <c r="R17" s="545">
        <f>Q17-P17</f>
        <v>525000</v>
      </c>
      <c r="S17" s="546" t="s">
        <v>455</v>
      </c>
      <c r="T17" s="68">
        <v>28060000</v>
      </c>
      <c r="U17" s="68">
        <f>T17</f>
        <v>28060000</v>
      </c>
    </row>
    <row r="18" spans="1:21" ht="30" customHeight="1">
      <c r="A18" s="413"/>
      <c r="B18" s="417"/>
      <c r="C18" s="426" t="s">
        <v>456</v>
      </c>
      <c r="D18" s="119"/>
      <c r="E18" s="134"/>
      <c r="F18" s="134"/>
      <c r="G18" s="134"/>
      <c r="H18" s="134"/>
      <c r="I18" s="134">
        <v>13000000</v>
      </c>
      <c r="J18" s="134">
        <v>15000000</v>
      </c>
      <c r="K18" s="134"/>
      <c r="L18" s="134">
        <v>15000000</v>
      </c>
      <c r="M18" s="134">
        <v>15000000</v>
      </c>
      <c r="N18" s="134">
        <v>15432000</v>
      </c>
      <c r="O18" s="134">
        <v>15432000</v>
      </c>
      <c r="P18" s="134">
        <v>15432000</v>
      </c>
      <c r="Q18" s="134">
        <f t="shared" si="7"/>
        <v>15432000</v>
      </c>
      <c r="R18" s="66">
        <f>Q18-P18</f>
        <v>0</v>
      </c>
      <c r="S18" s="425" t="s">
        <v>457</v>
      </c>
      <c r="T18" s="65">
        <v>15432000</v>
      </c>
      <c r="U18" s="65">
        <f>T18</f>
        <v>15432000</v>
      </c>
    </row>
    <row r="19" spans="1:21" ht="30" customHeight="1">
      <c r="A19" s="413"/>
      <c r="B19" s="417"/>
      <c r="C19" s="426" t="s">
        <v>458</v>
      </c>
      <c r="D19" s="119"/>
      <c r="E19" s="134"/>
      <c r="F19" s="134"/>
      <c r="G19" s="134"/>
      <c r="H19" s="134"/>
      <c r="I19" s="134">
        <v>0</v>
      </c>
      <c r="J19" s="134">
        <v>0</v>
      </c>
      <c r="K19" s="134">
        <v>41088400</v>
      </c>
      <c r="L19" s="134">
        <v>41088000</v>
      </c>
      <c r="M19" s="134">
        <v>22966000</v>
      </c>
      <c r="N19" s="134">
        <v>23067000</v>
      </c>
      <c r="O19" s="134">
        <v>23067000</v>
      </c>
      <c r="P19" s="134">
        <v>23067000</v>
      </c>
      <c r="Q19" s="134">
        <f t="shared" si="7"/>
        <v>0</v>
      </c>
      <c r="R19" s="66">
        <f t="shared" ref="R19:R30" si="9">Q19-P19</f>
        <v>-23067000</v>
      </c>
      <c r="S19" s="425"/>
      <c r="T19" s="65"/>
      <c r="U19" s="65">
        <f>T19</f>
        <v>0</v>
      </c>
    </row>
    <row r="20" spans="1:21" ht="30" customHeight="1">
      <c r="A20" s="413"/>
      <c r="B20" s="417"/>
      <c r="C20" s="426" t="s">
        <v>459</v>
      </c>
      <c r="D20" s="119"/>
      <c r="E20" s="134"/>
      <c r="F20" s="134"/>
      <c r="G20" s="134"/>
      <c r="H20" s="134"/>
      <c r="I20" s="134"/>
      <c r="J20" s="134">
        <v>0</v>
      </c>
      <c r="K20" s="134">
        <v>0</v>
      </c>
      <c r="L20" s="134">
        <v>86490000</v>
      </c>
      <c r="M20" s="134">
        <v>39540000</v>
      </c>
      <c r="N20" s="134">
        <v>39540000</v>
      </c>
      <c r="O20" s="134">
        <v>39540000</v>
      </c>
      <c r="P20" s="134">
        <v>39540000</v>
      </c>
      <c r="Q20" s="134">
        <f t="shared" si="7"/>
        <v>36930000</v>
      </c>
      <c r="R20" s="66">
        <f t="shared" si="9"/>
        <v>-2610000</v>
      </c>
      <c r="S20" s="425" t="s">
        <v>459</v>
      </c>
      <c r="T20" s="65">
        <v>36930000</v>
      </c>
      <c r="U20" s="65">
        <f>T20</f>
        <v>36930000</v>
      </c>
    </row>
    <row r="21" spans="1:21" ht="30" customHeight="1">
      <c r="A21" s="413"/>
      <c r="B21" s="417"/>
      <c r="C21" s="440" t="s">
        <v>631</v>
      </c>
      <c r="D21" s="119"/>
      <c r="E21" s="134"/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>
        <v>0</v>
      </c>
      <c r="Q21" s="134">
        <f t="shared" si="7"/>
        <v>35000000</v>
      </c>
      <c r="R21" s="66">
        <f t="shared" si="9"/>
        <v>35000000</v>
      </c>
      <c r="S21" s="425" t="s">
        <v>614</v>
      </c>
      <c r="T21" s="65">
        <v>35000000</v>
      </c>
      <c r="U21" s="65">
        <f>T21</f>
        <v>35000000</v>
      </c>
    </row>
    <row r="22" spans="1:21" ht="30" customHeight="1">
      <c r="A22" s="413"/>
      <c r="B22" s="417"/>
      <c r="C22" s="426" t="s">
        <v>460</v>
      </c>
      <c r="D22" s="119"/>
      <c r="E22" s="134"/>
      <c r="F22" s="134"/>
      <c r="G22" s="134"/>
      <c r="H22" s="134"/>
      <c r="I22" s="134"/>
      <c r="J22" s="134"/>
      <c r="K22" s="134">
        <v>0</v>
      </c>
      <c r="L22" s="134">
        <v>130000000</v>
      </c>
      <c r="M22" s="134">
        <v>0</v>
      </c>
      <c r="N22" s="134">
        <v>0</v>
      </c>
      <c r="O22" s="134">
        <v>0</v>
      </c>
      <c r="P22" s="134">
        <v>0</v>
      </c>
      <c r="Q22" s="134">
        <f t="shared" si="7"/>
        <v>0</v>
      </c>
      <c r="R22" s="66">
        <f t="shared" si="9"/>
        <v>0</v>
      </c>
      <c r="S22" s="425"/>
      <c r="T22" s="65"/>
      <c r="U22" s="65"/>
    </row>
    <row r="23" spans="1:21" ht="30" customHeight="1">
      <c r="A23" s="413"/>
      <c r="B23" s="417"/>
      <c r="C23" s="426" t="s">
        <v>461</v>
      </c>
      <c r="D23" s="119"/>
      <c r="E23" s="134"/>
      <c r="F23" s="134"/>
      <c r="G23" s="134"/>
      <c r="H23" s="134"/>
      <c r="I23" s="170">
        <f t="shared" ref="I23:Q23" si="10">SUM(I24:I28)</f>
        <v>5220000</v>
      </c>
      <c r="J23" s="170">
        <f t="shared" si="10"/>
        <v>500000</v>
      </c>
      <c r="K23" s="170">
        <f t="shared" si="10"/>
        <v>5040000</v>
      </c>
      <c r="L23" s="170">
        <f t="shared" si="10"/>
        <v>5040000</v>
      </c>
      <c r="M23" s="170">
        <f t="shared" si="10"/>
        <v>4890000</v>
      </c>
      <c r="N23" s="170">
        <f t="shared" si="10"/>
        <v>6490000</v>
      </c>
      <c r="O23" s="170">
        <f t="shared" si="10"/>
        <v>13040000</v>
      </c>
      <c r="P23" s="170">
        <f t="shared" si="10"/>
        <v>13040000</v>
      </c>
      <c r="Q23" s="170">
        <f t="shared" si="10"/>
        <v>500000</v>
      </c>
      <c r="R23" s="66">
        <f t="shared" si="9"/>
        <v>-12540000</v>
      </c>
      <c r="S23" s="425"/>
      <c r="T23" s="65"/>
      <c r="U23" s="65"/>
    </row>
    <row r="24" spans="1:21" ht="30" customHeight="1">
      <c r="A24" s="413"/>
      <c r="B24" s="417"/>
      <c r="C24" s="426" t="s">
        <v>462</v>
      </c>
      <c r="D24" s="119"/>
      <c r="E24" s="134"/>
      <c r="F24" s="134"/>
      <c r="G24" s="134"/>
      <c r="H24" s="134"/>
      <c r="I24" s="134">
        <v>680000</v>
      </c>
      <c r="J24" s="134">
        <v>500000</v>
      </c>
      <c r="K24" s="134">
        <v>500000</v>
      </c>
      <c r="L24" s="134">
        <v>500000</v>
      </c>
      <c r="M24" s="134">
        <v>350000</v>
      </c>
      <c r="N24" s="134">
        <v>350000</v>
      </c>
      <c r="O24" s="134">
        <f>T24</f>
        <v>500000</v>
      </c>
      <c r="P24" s="134">
        <v>500000</v>
      </c>
      <c r="Q24" s="134">
        <f t="shared" si="7"/>
        <v>500000</v>
      </c>
      <c r="R24" s="66">
        <f t="shared" si="9"/>
        <v>0</v>
      </c>
      <c r="S24" s="425" t="s">
        <v>463</v>
      </c>
      <c r="T24" s="65">
        <v>500000</v>
      </c>
      <c r="U24" s="65">
        <f>T24</f>
        <v>500000</v>
      </c>
    </row>
    <row r="25" spans="1:21" ht="30" customHeight="1">
      <c r="A25" s="413"/>
      <c r="B25" s="417"/>
      <c r="C25" s="426" t="s">
        <v>464</v>
      </c>
      <c r="D25" s="119"/>
      <c r="E25" s="134"/>
      <c r="F25" s="134"/>
      <c r="G25" s="134"/>
      <c r="H25" s="134"/>
      <c r="I25" s="134">
        <v>4540000</v>
      </c>
      <c r="J25" s="134">
        <v>0</v>
      </c>
      <c r="K25" s="134">
        <v>4540000</v>
      </c>
      <c r="L25" s="134">
        <v>4540000</v>
      </c>
      <c r="M25" s="134">
        <v>4540000</v>
      </c>
      <c r="N25" s="134">
        <v>4540000</v>
      </c>
      <c r="O25" s="134">
        <v>4540000</v>
      </c>
      <c r="P25" s="134">
        <v>4540000</v>
      </c>
      <c r="Q25" s="134">
        <f t="shared" si="7"/>
        <v>0</v>
      </c>
      <c r="R25" s="66">
        <f t="shared" si="9"/>
        <v>-4540000</v>
      </c>
      <c r="S25" s="425"/>
      <c r="T25" s="65"/>
      <c r="U25" s="65">
        <f>T25</f>
        <v>0</v>
      </c>
    </row>
    <row r="26" spans="1:21" ht="30" customHeight="1">
      <c r="A26" s="413"/>
      <c r="B26" s="417"/>
      <c r="C26" s="427" t="s">
        <v>465</v>
      </c>
      <c r="D26" s="119"/>
      <c r="E26" s="134"/>
      <c r="F26" s="134"/>
      <c r="G26" s="134"/>
      <c r="H26" s="134"/>
      <c r="I26" s="134"/>
      <c r="J26" s="134"/>
      <c r="K26" s="134"/>
      <c r="L26" s="134">
        <v>0</v>
      </c>
      <c r="M26" s="134">
        <v>0</v>
      </c>
      <c r="N26" s="134">
        <v>1600000</v>
      </c>
      <c r="O26" s="134">
        <v>1600000</v>
      </c>
      <c r="P26" s="134">
        <v>1600000</v>
      </c>
      <c r="Q26" s="134">
        <f t="shared" si="7"/>
        <v>0</v>
      </c>
      <c r="R26" s="66">
        <f t="shared" si="9"/>
        <v>-1600000</v>
      </c>
      <c r="S26" s="425"/>
      <c r="T26" s="65"/>
      <c r="U26" s="65">
        <f t="shared" ref="U26:U28" si="11">T26</f>
        <v>0</v>
      </c>
    </row>
    <row r="27" spans="1:21" ht="30" customHeight="1">
      <c r="A27" s="413"/>
      <c r="B27" s="417"/>
      <c r="C27" s="427" t="s">
        <v>466</v>
      </c>
      <c r="D27" s="119"/>
      <c r="E27" s="134"/>
      <c r="F27" s="134"/>
      <c r="G27" s="134"/>
      <c r="H27" s="134"/>
      <c r="I27" s="134"/>
      <c r="J27" s="134"/>
      <c r="K27" s="134"/>
      <c r="L27" s="134">
        <v>0</v>
      </c>
      <c r="M27" s="134">
        <v>0</v>
      </c>
      <c r="N27" s="134">
        <v>0</v>
      </c>
      <c r="O27" s="134">
        <v>3200000</v>
      </c>
      <c r="P27" s="134">
        <v>3200000</v>
      </c>
      <c r="Q27" s="134">
        <f t="shared" si="7"/>
        <v>0</v>
      </c>
      <c r="R27" s="66">
        <f t="shared" si="9"/>
        <v>-3200000</v>
      </c>
      <c r="S27" s="425"/>
      <c r="T27" s="65"/>
      <c r="U27" s="65">
        <f t="shared" si="11"/>
        <v>0</v>
      </c>
    </row>
    <row r="28" spans="1:21" ht="30" customHeight="1">
      <c r="A28" s="422"/>
      <c r="B28" s="423"/>
      <c r="C28" s="427" t="s">
        <v>467</v>
      </c>
      <c r="D28" s="119"/>
      <c r="E28" s="134"/>
      <c r="F28" s="134"/>
      <c r="G28" s="134"/>
      <c r="H28" s="134"/>
      <c r="I28" s="134"/>
      <c r="J28" s="134"/>
      <c r="K28" s="134"/>
      <c r="L28" s="134">
        <v>0</v>
      </c>
      <c r="M28" s="134">
        <v>0</v>
      </c>
      <c r="N28" s="134">
        <v>0</v>
      </c>
      <c r="O28" s="134">
        <v>3200000</v>
      </c>
      <c r="P28" s="134">
        <v>3200000</v>
      </c>
      <c r="Q28" s="134">
        <f t="shared" si="7"/>
        <v>0</v>
      </c>
      <c r="R28" s="66">
        <f t="shared" si="9"/>
        <v>-3200000</v>
      </c>
      <c r="S28" s="425"/>
      <c r="T28" s="65"/>
      <c r="U28" s="65">
        <f t="shared" si="11"/>
        <v>0</v>
      </c>
    </row>
    <row r="29" spans="1:21" ht="30" customHeight="1">
      <c r="A29" s="629" t="s">
        <v>29</v>
      </c>
      <c r="B29" s="630"/>
      <c r="C29" s="631"/>
      <c r="D29" s="117">
        <f t="shared" ref="D29:Q30" si="12">D30</f>
        <v>59980000</v>
      </c>
      <c r="E29" s="132">
        <f t="shared" si="12"/>
        <v>57600000</v>
      </c>
      <c r="F29" s="132">
        <f t="shared" si="12"/>
        <v>57600000</v>
      </c>
      <c r="G29" s="132">
        <f t="shared" si="12"/>
        <v>59980000</v>
      </c>
      <c r="H29" s="132">
        <f t="shared" si="12"/>
        <v>73000000</v>
      </c>
      <c r="I29" s="170">
        <f t="shared" si="12"/>
        <v>66400000</v>
      </c>
      <c r="J29" s="170">
        <f t="shared" si="12"/>
        <v>67200000</v>
      </c>
      <c r="K29" s="170">
        <f t="shared" si="12"/>
        <v>67200000</v>
      </c>
      <c r="L29" s="170">
        <f t="shared" si="12"/>
        <v>75875000</v>
      </c>
      <c r="M29" s="170">
        <f t="shared" si="12"/>
        <v>77875000</v>
      </c>
      <c r="N29" s="170">
        <f t="shared" si="12"/>
        <v>77875000</v>
      </c>
      <c r="O29" s="170">
        <f t="shared" si="12"/>
        <v>80475000</v>
      </c>
      <c r="P29" s="170">
        <f t="shared" si="12"/>
        <v>72875000</v>
      </c>
      <c r="Q29" s="170">
        <f t="shared" si="12"/>
        <v>80775000</v>
      </c>
      <c r="R29" s="66">
        <f t="shared" si="9"/>
        <v>7900000</v>
      </c>
      <c r="S29" s="429"/>
      <c r="T29" s="73"/>
      <c r="U29" s="73"/>
    </row>
    <row r="30" spans="1:21" ht="30" customHeight="1">
      <c r="A30" s="413"/>
      <c r="B30" s="624" t="s">
        <v>29</v>
      </c>
      <c r="C30" s="632"/>
      <c r="D30" s="121">
        <f>SUM(D31:D34)</f>
        <v>59980000</v>
      </c>
      <c r="E30" s="136">
        <f>SUM(E31:E34)</f>
        <v>57600000</v>
      </c>
      <c r="F30" s="136">
        <v>57600000</v>
      </c>
      <c r="G30" s="136">
        <f>SUM(G31)</f>
        <v>59980000</v>
      </c>
      <c r="H30" s="136">
        <f>SUM(H31)</f>
        <v>73000000</v>
      </c>
      <c r="I30" s="136">
        <f t="shared" si="12"/>
        <v>66400000</v>
      </c>
      <c r="J30" s="136">
        <f t="shared" si="12"/>
        <v>67200000</v>
      </c>
      <c r="K30" s="136">
        <f t="shared" si="12"/>
        <v>67200000</v>
      </c>
      <c r="L30" s="136">
        <f t="shared" ref="L30:Q30" si="13">SUM(L31:L36)</f>
        <v>75875000</v>
      </c>
      <c r="M30" s="136">
        <f t="shared" si="13"/>
        <v>77875000</v>
      </c>
      <c r="N30" s="136">
        <f t="shared" si="13"/>
        <v>77875000</v>
      </c>
      <c r="O30" s="136">
        <f t="shared" si="13"/>
        <v>80475000</v>
      </c>
      <c r="P30" s="136">
        <f t="shared" si="13"/>
        <v>72875000</v>
      </c>
      <c r="Q30" s="136">
        <f t="shared" si="13"/>
        <v>80775000</v>
      </c>
      <c r="R30" s="66">
        <f t="shared" si="9"/>
        <v>7900000</v>
      </c>
      <c r="S30" s="431"/>
      <c r="T30" s="74"/>
      <c r="U30" s="74"/>
    </row>
    <row r="31" spans="1:21" ht="30" customHeight="1">
      <c r="A31" s="413"/>
      <c r="B31" s="415"/>
      <c r="C31" s="420" t="s">
        <v>40</v>
      </c>
      <c r="D31" s="122">
        <v>59980000</v>
      </c>
      <c r="E31" s="137">
        <v>57600000</v>
      </c>
      <c r="F31" s="137">
        <v>57600000</v>
      </c>
      <c r="G31" s="137">
        <v>59980000</v>
      </c>
      <c r="H31" s="137">
        <v>73000000</v>
      </c>
      <c r="I31" s="137">
        <v>66400000</v>
      </c>
      <c r="J31" s="137">
        <v>67200000</v>
      </c>
      <c r="K31" s="137">
        <v>67200000</v>
      </c>
      <c r="L31" s="137">
        <v>65100000</v>
      </c>
      <c r="M31" s="137">
        <v>71700000</v>
      </c>
      <c r="N31" s="137">
        <v>71700000</v>
      </c>
      <c r="O31" s="137">
        <v>46000000</v>
      </c>
      <c r="P31" s="137">
        <v>38400000</v>
      </c>
      <c r="Q31" s="137">
        <f>SUM(U31:U34)</f>
        <v>72000000</v>
      </c>
      <c r="R31" s="75">
        <f>Q31-P31</f>
        <v>33600000</v>
      </c>
      <c r="S31" s="541" t="s">
        <v>543</v>
      </c>
      <c r="T31" s="70">
        <v>30000000</v>
      </c>
      <c r="U31" s="70">
        <f>SUM(T31:T34)</f>
        <v>72000000</v>
      </c>
    </row>
    <row r="32" spans="1:21" ht="30" customHeight="1">
      <c r="A32" s="413"/>
      <c r="B32" s="415"/>
      <c r="C32" s="432"/>
      <c r="D32" s="122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75"/>
      <c r="S32" s="431" t="s">
        <v>544</v>
      </c>
      <c r="T32" s="72">
        <v>6000000</v>
      </c>
      <c r="U32" s="72"/>
    </row>
    <row r="33" spans="1:21" ht="30" customHeight="1">
      <c r="A33" s="413"/>
      <c r="B33" s="415"/>
      <c r="C33" s="432"/>
      <c r="D33" s="122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75"/>
      <c r="S33" s="431" t="s">
        <v>545</v>
      </c>
      <c r="T33" s="72">
        <v>1000000</v>
      </c>
      <c r="U33" s="72"/>
    </row>
    <row r="34" spans="1:21" ht="36" customHeight="1">
      <c r="A34" s="413"/>
      <c r="B34" s="415"/>
      <c r="C34" s="489"/>
      <c r="D34" s="122"/>
      <c r="E34" s="137"/>
      <c r="F34" s="137"/>
      <c r="G34" s="137"/>
      <c r="H34" s="137"/>
      <c r="I34" s="137"/>
      <c r="J34" s="137"/>
      <c r="K34" s="137"/>
      <c r="L34" s="137"/>
      <c r="M34" s="137"/>
      <c r="N34" s="433"/>
      <c r="O34" s="433"/>
      <c r="P34" s="433"/>
      <c r="Q34" s="433"/>
      <c r="R34" s="434"/>
      <c r="S34" s="431" t="s">
        <v>546</v>
      </c>
      <c r="T34" s="72">
        <v>35000000</v>
      </c>
      <c r="U34" s="72"/>
    </row>
    <row r="35" spans="1:21" ht="37.5" customHeight="1">
      <c r="A35" s="413"/>
      <c r="B35" s="415"/>
      <c r="C35" s="432" t="s">
        <v>45</v>
      </c>
      <c r="D35" s="122"/>
      <c r="E35" s="137"/>
      <c r="F35" s="137"/>
      <c r="G35" s="137"/>
      <c r="H35" s="137"/>
      <c r="I35" s="137">
        <v>1370000</v>
      </c>
      <c r="J35" s="137">
        <v>0</v>
      </c>
      <c r="K35" s="433">
        <v>0</v>
      </c>
      <c r="L35" s="137">
        <v>10000000</v>
      </c>
      <c r="M35" s="137">
        <v>5400000</v>
      </c>
      <c r="N35" s="137">
        <v>5400000</v>
      </c>
      <c r="O35" s="137">
        <v>34475000</v>
      </c>
      <c r="P35" s="137">
        <v>34475000</v>
      </c>
      <c r="Q35" s="137">
        <f>SUM(U35:U36)</f>
        <v>8775000</v>
      </c>
      <c r="R35" s="75">
        <f>Q35-P35</f>
        <v>-25700000</v>
      </c>
      <c r="S35" s="541" t="s">
        <v>468</v>
      </c>
      <c r="T35" s="70">
        <v>8000000</v>
      </c>
      <c r="U35" s="70">
        <f>SUM(T35:T36)</f>
        <v>8775000</v>
      </c>
    </row>
    <row r="36" spans="1:21" ht="37.5" customHeight="1">
      <c r="A36" s="413"/>
      <c r="B36" s="415"/>
      <c r="C36" s="432"/>
      <c r="D36" s="122"/>
      <c r="E36" s="137"/>
      <c r="F36" s="137"/>
      <c r="G36" s="137"/>
      <c r="H36" s="137"/>
      <c r="I36" s="137"/>
      <c r="J36" s="137"/>
      <c r="K36" s="140">
        <v>0</v>
      </c>
      <c r="L36" s="433">
        <v>775000</v>
      </c>
      <c r="M36" s="433">
        <v>775000</v>
      </c>
      <c r="N36" s="433">
        <v>775000</v>
      </c>
      <c r="O36" s="433"/>
      <c r="P36" s="433"/>
      <c r="Q36" s="433"/>
      <c r="R36" s="435"/>
      <c r="S36" s="542" t="s">
        <v>469</v>
      </c>
      <c r="T36" s="65">
        <v>775000</v>
      </c>
      <c r="U36" s="65"/>
    </row>
    <row r="37" spans="1:21" ht="30" customHeight="1">
      <c r="A37" s="633" t="s">
        <v>44</v>
      </c>
      <c r="B37" s="634"/>
      <c r="C37" s="635"/>
      <c r="D37" s="123">
        <f t="shared" ref="D37:Q38" si="14">D38</f>
        <v>49613000</v>
      </c>
      <c r="E37" s="138">
        <f t="shared" si="14"/>
        <v>51000000</v>
      </c>
      <c r="F37" s="138">
        <f t="shared" si="14"/>
        <v>51000000</v>
      </c>
      <c r="G37" s="138">
        <f t="shared" si="14"/>
        <v>49613000</v>
      </c>
      <c r="H37" s="138">
        <f t="shared" si="14"/>
        <v>51000000</v>
      </c>
      <c r="I37" s="171">
        <f t="shared" si="14"/>
        <v>25000000</v>
      </c>
      <c r="J37" s="171">
        <f t="shared" si="14"/>
        <v>25000000</v>
      </c>
      <c r="K37" s="171">
        <f t="shared" si="14"/>
        <v>25000000</v>
      </c>
      <c r="L37" s="171">
        <f t="shared" si="14"/>
        <v>25000000</v>
      </c>
      <c r="M37" s="171">
        <f t="shared" si="14"/>
        <v>25000000</v>
      </c>
      <c r="N37" s="171">
        <f t="shared" si="14"/>
        <v>25000000</v>
      </c>
      <c r="O37" s="171">
        <f t="shared" si="14"/>
        <v>25000000</v>
      </c>
      <c r="P37" s="171">
        <f t="shared" si="14"/>
        <v>25000000</v>
      </c>
      <c r="Q37" s="171">
        <f t="shared" si="14"/>
        <v>25000000</v>
      </c>
      <c r="R37" s="435">
        <f>Q37-P37</f>
        <v>0</v>
      </c>
      <c r="S37" s="436"/>
      <c r="T37" s="68"/>
      <c r="U37" s="68"/>
    </row>
    <row r="38" spans="1:21" ht="30" customHeight="1">
      <c r="A38" s="437"/>
      <c r="B38" s="627" t="s">
        <v>44</v>
      </c>
      <c r="C38" s="628"/>
      <c r="D38" s="124">
        <f t="shared" si="14"/>
        <v>49613000</v>
      </c>
      <c r="E38" s="139">
        <f t="shared" si="14"/>
        <v>51000000</v>
      </c>
      <c r="F38" s="139">
        <f t="shared" si="14"/>
        <v>51000000</v>
      </c>
      <c r="G38" s="139">
        <f t="shared" si="14"/>
        <v>49613000</v>
      </c>
      <c r="H38" s="139">
        <f t="shared" si="14"/>
        <v>51000000</v>
      </c>
      <c r="I38" s="142">
        <f t="shared" si="14"/>
        <v>25000000</v>
      </c>
      <c r="J38" s="142">
        <f t="shared" si="14"/>
        <v>25000000</v>
      </c>
      <c r="K38" s="142">
        <f t="shared" si="14"/>
        <v>25000000</v>
      </c>
      <c r="L38" s="142">
        <f t="shared" si="14"/>
        <v>25000000</v>
      </c>
      <c r="M38" s="142">
        <f t="shared" si="14"/>
        <v>25000000</v>
      </c>
      <c r="N38" s="142">
        <f t="shared" si="14"/>
        <v>25000000</v>
      </c>
      <c r="O38" s="142">
        <f t="shared" si="14"/>
        <v>25000000</v>
      </c>
      <c r="P38" s="142">
        <f t="shared" si="14"/>
        <v>25000000</v>
      </c>
      <c r="Q38" s="142">
        <f t="shared" si="14"/>
        <v>25000000</v>
      </c>
      <c r="R38" s="435">
        <f t="shared" ref="R38:R41" si="15">Q38-P38</f>
        <v>0</v>
      </c>
      <c r="S38" s="414"/>
      <c r="T38" s="67"/>
      <c r="U38" s="67"/>
    </row>
    <row r="39" spans="1:21" ht="38.25" customHeight="1">
      <c r="A39" s="438"/>
      <c r="B39" s="439"/>
      <c r="C39" s="439" t="s">
        <v>26</v>
      </c>
      <c r="D39" s="125">
        <v>49613000</v>
      </c>
      <c r="E39" s="140">
        <v>51000000</v>
      </c>
      <c r="F39" s="140">
        <v>51000000</v>
      </c>
      <c r="G39" s="140">
        <v>49613000</v>
      </c>
      <c r="H39" s="140">
        <v>51000000</v>
      </c>
      <c r="I39" s="140">
        <v>25000000</v>
      </c>
      <c r="J39" s="140">
        <v>25000000</v>
      </c>
      <c r="K39" s="140">
        <f>T39</f>
        <v>25000000</v>
      </c>
      <c r="L39" s="140">
        <v>25000000</v>
      </c>
      <c r="M39" s="140">
        <v>25000000</v>
      </c>
      <c r="N39" s="140">
        <v>25000000</v>
      </c>
      <c r="O39" s="140">
        <v>25000000</v>
      </c>
      <c r="P39" s="140">
        <v>25000000</v>
      </c>
      <c r="Q39" s="140">
        <f>U39</f>
        <v>25000000</v>
      </c>
      <c r="R39" s="435">
        <f t="shared" si="15"/>
        <v>0</v>
      </c>
      <c r="S39" s="419" t="s">
        <v>547</v>
      </c>
      <c r="T39" s="68">
        <v>25000000</v>
      </c>
      <c r="U39" s="68">
        <f>T39</f>
        <v>25000000</v>
      </c>
    </row>
    <row r="40" spans="1:21" ht="30" customHeight="1">
      <c r="A40" s="636" t="s">
        <v>27</v>
      </c>
      <c r="B40" s="637"/>
      <c r="C40" s="637"/>
      <c r="D40" s="117">
        <f t="shared" ref="D40:Q40" si="16">D41</f>
        <v>83255000</v>
      </c>
      <c r="E40" s="132">
        <f t="shared" si="16"/>
        <v>80776000</v>
      </c>
      <c r="F40" s="132">
        <f t="shared" si="16"/>
        <v>47080000</v>
      </c>
      <c r="G40" s="132">
        <f t="shared" si="16"/>
        <v>83255000</v>
      </c>
      <c r="H40" s="132">
        <f t="shared" si="16"/>
        <v>46144000</v>
      </c>
      <c r="I40" s="170">
        <f t="shared" si="16"/>
        <v>47558000</v>
      </c>
      <c r="J40" s="170">
        <f t="shared" si="16"/>
        <v>47558000</v>
      </c>
      <c r="K40" s="170">
        <f t="shared" si="16"/>
        <v>47558000</v>
      </c>
      <c r="L40" s="170">
        <f t="shared" si="16"/>
        <v>91958000</v>
      </c>
      <c r="M40" s="170">
        <f t="shared" si="16"/>
        <v>92450000</v>
      </c>
      <c r="N40" s="170">
        <f t="shared" si="16"/>
        <v>85662000</v>
      </c>
      <c r="O40" s="170">
        <f t="shared" si="16"/>
        <v>73909000</v>
      </c>
      <c r="P40" s="170">
        <f t="shared" si="16"/>
        <v>63471000</v>
      </c>
      <c r="Q40" s="170">
        <f t="shared" si="16"/>
        <v>99157000</v>
      </c>
      <c r="R40" s="435">
        <f t="shared" si="15"/>
        <v>35686000</v>
      </c>
      <c r="S40" s="412"/>
      <c r="T40" s="65"/>
      <c r="U40" s="65"/>
    </row>
    <row r="41" spans="1:21" ht="30" customHeight="1">
      <c r="A41" s="437"/>
      <c r="B41" s="627" t="s">
        <v>27</v>
      </c>
      <c r="C41" s="628"/>
      <c r="D41" s="118">
        <f t="shared" ref="D41:K41" si="17">SUM(D42:D46)</f>
        <v>83255000</v>
      </c>
      <c r="E41" s="133">
        <f t="shared" si="17"/>
        <v>80776000</v>
      </c>
      <c r="F41" s="133">
        <f t="shared" si="17"/>
        <v>47080000</v>
      </c>
      <c r="G41" s="133">
        <f t="shared" si="17"/>
        <v>83255000</v>
      </c>
      <c r="H41" s="133">
        <f t="shared" si="17"/>
        <v>46144000</v>
      </c>
      <c r="I41" s="134">
        <f t="shared" si="17"/>
        <v>47558000</v>
      </c>
      <c r="J41" s="134">
        <f t="shared" si="17"/>
        <v>47558000</v>
      </c>
      <c r="K41" s="134">
        <f t="shared" si="17"/>
        <v>47558000</v>
      </c>
      <c r="L41" s="134">
        <f t="shared" ref="L41:Q41" si="18">SUM(L42:L50)</f>
        <v>91958000</v>
      </c>
      <c r="M41" s="134">
        <f t="shared" si="18"/>
        <v>92450000</v>
      </c>
      <c r="N41" s="134">
        <f t="shared" si="18"/>
        <v>85662000</v>
      </c>
      <c r="O41" s="134">
        <f t="shared" si="18"/>
        <v>73909000</v>
      </c>
      <c r="P41" s="134">
        <f t="shared" si="18"/>
        <v>63471000</v>
      </c>
      <c r="Q41" s="134">
        <f t="shared" si="18"/>
        <v>99157000</v>
      </c>
      <c r="R41" s="435">
        <f t="shared" si="15"/>
        <v>35686000</v>
      </c>
      <c r="S41" s="419"/>
      <c r="T41" s="68"/>
      <c r="U41" s="68"/>
    </row>
    <row r="42" spans="1:21" ht="30" customHeight="1">
      <c r="A42" s="441"/>
      <c r="B42" s="417"/>
      <c r="C42" s="442" t="s">
        <v>1</v>
      </c>
      <c r="D42" s="126">
        <v>72591000</v>
      </c>
      <c r="E42" s="141">
        <v>70112000</v>
      </c>
      <c r="F42" s="141">
        <v>36416000</v>
      </c>
      <c r="G42" s="141">
        <v>72591000</v>
      </c>
      <c r="H42" s="141">
        <v>35480000</v>
      </c>
      <c r="I42" s="141">
        <v>36550000</v>
      </c>
      <c r="J42" s="141">
        <v>36550000</v>
      </c>
      <c r="K42" s="141">
        <v>36550000</v>
      </c>
      <c r="L42" s="141">
        <v>36550000</v>
      </c>
      <c r="M42" s="141">
        <v>42042000</v>
      </c>
      <c r="N42" s="141">
        <v>38350000</v>
      </c>
      <c r="O42" s="141">
        <v>27684000</v>
      </c>
      <c r="P42" s="141">
        <v>22288000</v>
      </c>
      <c r="Q42" s="141">
        <f>U42</f>
        <v>51325000</v>
      </c>
      <c r="R42" s="443">
        <f>Q42-P42</f>
        <v>29037000</v>
      </c>
      <c r="S42" s="421" t="s">
        <v>548</v>
      </c>
      <c r="T42" s="70">
        <v>39325000</v>
      </c>
      <c r="U42" s="70">
        <f>SUM(T42:T44)</f>
        <v>51325000</v>
      </c>
    </row>
    <row r="43" spans="1:21" ht="30" customHeight="1">
      <c r="A43" s="441"/>
      <c r="B43" s="415"/>
      <c r="C43" s="415"/>
      <c r="D43" s="122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75"/>
      <c r="S43" s="444" t="s">
        <v>549</v>
      </c>
      <c r="T43" s="72">
        <v>9600000</v>
      </c>
      <c r="U43" s="72"/>
    </row>
    <row r="44" spans="1:21" ht="30" customHeight="1">
      <c r="A44" s="441"/>
      <c r="B44" s="415"/>
      <c r="C44" s="415"/>
      <c r="D44" s="122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75"/>
      <c r="S44" s="444" t="s">
        <v>550</v>
      </c>
      <c r="T44" s="72">
        <v>2400000</v>
      </c>
      <c r="U44" s="72"/>
    </row>
    <row r="45" spans="1:21" ht="30" customHeight="1">
      <c r="A45" s="441"/>
      <c r="B45" s="415"/>
      <c r="C45" s="428" t="s">
        <v>2</v>
      </c>
      <c r="D45" s="120">
        <v>10664000</v>
      </c>
      <c r="E45" s="135">
        <v>10664000</v>
      </c>
      <c r="F45" s="135">
        <v>10664000</v>
      </c>
      <c r="G45" s="135">
        <v>10664000</v>
      </c>
      <c r="H45" s="135">
        <v>10664000</v>
      </c>
      <c r="I45" s="135">
        <v>11008000</v>
      </c>
      <c r="J45" s="135">
        <v>11008000</v>
      </c>
      <c r="K45" s="135">
        <v>11008000</v>
      </c>
      <c r="L45" s="135">
        <v>11008000</v>
      </c>
      <c r="M45" s="135">
        <v>11008000</v>
      </c>
      <c r="N45" s="135">
        <v>7912000</v>
      </c>
      <c r="O45" s="135">
        <v>6825000</v>
      </c>
      <c r="P45" s="135">
        <v>1783000</v>
      </c>
      <c r="Q45" s="135">
        <f>U45</f>
        <v>8432000</v>
      </c>
      <c r="R45" s="69">
        <f>Q45-P45</f>
        <v>6649000</v>
      </c>
      <c r="S45" s="421" t="s">
        <v>551</v>
      </c>
      <c r="T45" s="70">
        <v>7192000</v>
      </c>
      <c r="U45" s="70">
        <f>SUM(T45:T46)</f>
        <v>8432000</v>
      </c>
    </row>
    <row r="46" spans="1:21" ht="30" customHeight="1">
      <c r="A46" s="441"/>
      <c r="B46" s="415"/>
      <c r="C46" s="416"/>
      <c r="D46" s="119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66"/>
      <c r="S46" s="425" t="s">
        <v>552</v>
      </c>
      <c r="T46" s="65">
        <v>1240000</v>
      </c>
      <c r="U46" s="65"/>
    </row>
    <row r="47" spans="1:21" ht="30" customHeight="1">
      <c r="A47" s="441"/>
      <c r="B47" s="415"/>
      <c r="C47" s="416" t="s">
        <v>470</v>
      </c>
      <c r="D47" s="119"/>
      <c r="E47" s="134"/>
      <c r="F47" s="134"/>
      <c r="G47" s="134"/>
      <c r="H47" s="134"/>
      <c r="I47" s="134">
        <v>15000000</v>
      </c>
      <c r="J47" s="134">
        <v>20000000</v>
      </c>
      <c r="K47" s="134">
        <v>20000000</v>
      </c>
      <c r="L47" s="134">
        <v>20000000</v>
      </c>
      <c r="M47" s="134">
        <v>15000000</v>
      </c>
      <c r="N47" s="134">
        <v>15000000</v>
      </c>
      <c r="O47" s="134">
        <v>15000000</v>
      </c>
      <c r="P47" s="134">
        <v>15000000</v>
      </c>
      <c r="Q47" s="134">
        <f>U47</f>
        <v>15000000</v>
      </c>
      <c r="R47" s="66">
        <f>Q47-P47</f>
        <v>0</v>
      </c>
      <c r="S47" s="425" t="s">
        <v>470</v>
      </c>
      <c r="T47" s="65">
        <v>15000000</v>
      </c>
      <c r="U47" s="65">
        <f>T47</f>
        <v>15000000</v>
      </c>
    </row>
    <row r="48" spans="1:21" ht="30" customHeight="1">
      <c r="A48" s="441"/>
      <c r="B48" s="415"/>
      <c r="C48" s="415" t="s">
        <v>471</v>
      </c>
      <c r="D48" s="128"/>
      <c r="E48" s="144"/>
      <c r="F48" s="144"/>
      <c r="G48" s="144"/>
      <c r="H48" s="144"/>
      <c r="I48" s="144">
        <v>24070000</v>
      </c>
      <c r="J48" s="144">
        <v>24400000</v>
      </c>
      <c r="K48" s="144">
        <v>24400000</v>
      </c>
      <c r="L48" s="144">
        <v>24400000</v>
      </c>
      <c r="M48" s="144">
        <v>24400000</v>
      </c>
      <c r="N48" s="144">
        <v>24400000</v>
      </c>
      <c r="O48" s="144">
        <v>24400000</v>
      </c>
      <c r="P48" s="144">
        <v>24400000</v>
      </c>
      <c r="Q48" s="144">
        <f>U48</f>
        <v>24400000</v>
      </c>
      <c r="R48" s="71">
        <f>Q48-P48</f>
        <v>0</v>
      </c>
      <c r="S48" s="444" t="s">
        <v>472</v>
      </c>
      <c r="T48" s="72">
        <f>80000*140</f>
        <v>11200000</v>
      </c>
      <c r="U48" s="72">
        <f>SUM(T48:T50)</f>
        <v>24400000</v>
      </c>
    </row>
    <row r="49" spans="1:21" ht="30" customHeight="1">
      <c r="A49" s="441"/>
      <c r="B49" s="415"/>
      <c r="C49" s="415"/>
      <c r="D49" s="128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71"/>
      <c r="S49" s="444" t="s">
        <v>473</v>
      </c>
      <c r="T49" s="72">
        <f>50000*120</f>
        <v>6000000</v>
      </c>
      <c r="U49" s="72"/>
    </row>
    <row r="50" spans="1:21" ht="30" customHeight="1">
      <c r="A50" s="441"/>
      <c r="B50" s="415"/>
      <c r="C50" s="416"/>
      <c r="D50" s="119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66"/>
      <c r="S50" s="425" t="s">
        <v>474</v>
      </c>
      <c r="T50" s="65">
        <f>20000*120*3</f>
        <v>7200000</v>
      </c>
      <c r="U50" s="65"/>
    </row>
    <row r="51" spans="1:21" ht="30" customHeight="1">
      <c r="A51" s="626" t="s">
        <v>21</v>
      </c>
      <c r="B51" s="627"/>
      <c r="C51" s="628"/>
      <c r="D51" s="117">
        <f t="shared" ref="D51:Q51" si="19">D52</f>
        <v>3960000</v>
      </c>
      <c r="E51" s="132">
        <f t="shared" si="19"/>
        <v>8000000</v>
      </c>
      <c r="F51" s="132">
        <f t="shared" si="19"/>
        <v>28878000</v>
      </c>
      <c r="G51" s="132">
        <f t="shared" si="19"/>
        <v>3960000</v>
      </c>
      <c r="H51" s="132">
        <f t="shared" si="19"/>
        <v>28878000</v>
      </c>
      <c r="I51" s="170">
        <f t="shared" si="19"/>
        <v>18392000</v>
      </c>
      <c r="J51" s="170">
        <f t="shared" si="19"/>
        <v>15000000</v>
      </c>
      <c r="K51" s="170">
        <f t="shared" si="19"/>
        <v>30000000</v>
      </c>
      <c r="L51" s="170">
        <f t="shared" si="19"/>
        <v>25444000</v>
      </c>
      <c r="M51" s="170">
        <f t="shared" si="19"/>
        <v>30000000</v>
      </c>
      <c r="N51" s="170">
        <f t="shared" si="19"/>
        <v>74188000</v>
      </c>
      <c r="O51" s="170">
        <f t="shared" si="19"/>
        <v>74188000</v>
      </c>
      <c r="P51" s="170">
        <f t="shared" si="19"/>
        <v>74188000</v>
      </c>
      <c r="Q51" s="170">
        <f t="shared" si="19"/>
        <v>30000000</v>
      </c>
      <c r="R51" s="66">
        <f>Q51-P51</f>
        <v>-44188000</v>
      </c>
      <c r="S51" s="425"/>
      <c r="T51" s="65"/>
      <c r="U51" s="65"/>
    </row>
    <row r="52" spans="1:21" ht="30" customHeight="1">
      <c r="A52" s="445"/>
      <c r="B52" s="624" t="s">
        <v>21</v>
      </c>
      <c r="C52" s="625"/>
      <c r="D52" s="118">
        <f t="shared" ref="D52:Q52" si="20">SUM(D53:D54)</f>
        <v>3960000</v>
      </c>
      <c r="E52" s="133">
        <f t="shared" si="20"/>
        <v>8000000</v>
      </c>
      <c r="F52" s="133">
        <f t="shared" si="20"/>
        <v>28878000</v>
      </c>
      <c r="G52" s="133">
        <f t="shared" si="20"/>
        <v>3960000</v>
      </c>
      <c r="H52" s="133">
        <f t="shared" si="20"/>
        <v>28878000</v>
      </c>
      <c r="I52" s="134">
        <f t="shared" si="20"/>
        <v>18392000</v>
      </c>
      <c r="J52" s="134">
        <f t="shared" si="20"/>
        <v>15000000</v>
      </c>
      <c r="K52" s="134">
        <f t="shared" si="20"/>
        <v>30000000</v>
      </c>
      <c r="L52" s="134">
        <f t="shared" si="20"/>
        <v>25444000</v>
      </c>
      <c r="M52" s="134">
        <f t="shared" si="20"/>
        <v>30000000</v>
      </c>
      <c r="N52" s="134">
        <f t="shared" si="20"/>
        <v>74188000</v>
      </c>
      <c r="O52" s="134">
        <f t="shared" si="20"/>
        <v>74188000</v>
      </c>
      <c r="P52" s="134">
        <f t="shared" si="20"/>
        <v>74188000</v>
      </c>
      <c r="Q52" s="134">
        <f t="shared" si="20"/>
        <v>30000000</v>
      </c>
      <c r="R52" s="66">
        <f>Q52-P52</f>
        <v>-44188000</v>
      </c>
      <c r="S52" s="412"/>
      <c r="T52" s="65"/>
      <c r="U52" s="65"/>
    </row>
    <row r="53" spans="1:21" ht="30" customHeight="1">
      <c r="A53" s="445"/>
      <c r="B53" s="442"/>
      <c r="C53" s="428" t="s">
        <v>25</v>
      </c>
      <c r="D53" s="127">
        <v>2247000</v>
      </c>
      <c r="E53" s="143">
        <v>8000000</v>
      </c>
      <c r="F53" s="143">
        <v>10124000</v>
      </c>
      <c r="G53" s="143">
        <v>2247000</v>
      </c>
      <c r="H53" s="143">
        <v>10124000</v>
      </c>
      <c r="I53" s="135">
        <v>6107000</v>
      </c>
      <c r="J53" s="135">
        <v>5000000</v>
      </c>
      <c r="K53" s="135">
        <f>T53</f>
        <v>20000000</v>
      </c>
      <c r="L53" s="135">
        <v>9292000</v>
      </c>
      <c r="M53" s="135">
        <v>10000000</v>
      </c>
      <c r="N53" s="135">
        <v>47887000</v>
      </c>
      <c r="O53" s="135">
        <v>47887000</v>
      </c>
      <c r="P53" s="135">
        <v>47887000</v>
      </c>
      <c r="Q53" s="135">
        <f>SUM(U53:U53)</f>
        <v>20000000</v>
      </c>
      <c r="R53" s="69">
        <f>Q53-P53</f>
        <v>-27887000</v>
      </c>
      <c r="S53" s="446" t="s">
        <v>475</v>
      </c>
      <c r="T53" s="70">
        <v>20000000</v>
      </c>
      <c r="U53" s="70">
        <v>20000000</v>
      </c>
    </row>
    <row r="54" spans="1:21" ht="30" customHeight="1">
      <c r="A54" s="448"/>
      <c r="B54" s="423"/>
      <c r="C54" s="416" t="s">
        <v>131</v>
      </c>
      <c r="D54" s="118">
        <v>1713000</v>
      </c>
      <c r="E54" s="133">
        <v>0</v>
      </c>
      <c r="F54" s="133">
        <v>18754000</v>
      </c>
      <c r="G54" s="133">
        <v>1713000</v>
      </c>
      <c r="H54" s="133">
        <v>18754000</v>
      </c>
      <c r="I54" s="134">
        <v>12285000</v>
      </c>
      <c r="J54" s="134">
        <v>10000000</v>
      </c>
      <c r="K54" s="134">
        <f>T54</f>
        <v>10000000</v>
      </c>
      <c r="L54" s="134">
        <v>16152000</v>
      </c>
      <c r="M54" s="134">
        <v>20000000</v>
      </c>
      <c r="N54" s="134">
        <v>26301000</v>
      </c>
      <c r="O54" s="134">
        <v>26301000</v>
      </c>
      <c r="P54" s="134">
        <v>26301000</v>
      </c>
      <c r="Q54" s="134">
        <f>U54</f>
        <v>10000000</v>
      </c>
      <c r="R54" s="66">
        <f>Q54-P54</f>
        <v>-16301000</v>
      </c>
      <c r="S54" s="412" t="s">
        <v>230</v>
      </c>
      <c r="T54" s="65">
        <v>10000000</v>
      </c>
      <c r="U54" s="65">
        <f>T54</f>
        <v>10000000</v>
      </c>
    </row>
    <row r="55" spans="1:21" ht="30" customHeight="1">
      <c r="A55" s="626" t="s">
        <v>22</v>
      </c>
      <c r="B55" s="627"/>
      <c r="C55" s="628"/>
      <c r="D55" s="117">
        <f t="shared" ref="D55:Q55" si="21">D56</f>
        <v>7448000</v>
      </c>
      <c r="E55" s="132">
        <f t="shared" si="21"/>
        <v>4220000</v>
      </c>
      <c r="F55" s="132">
        <f t="shared" si="21"/>
        <v>8220000</v>
      </c>
      <c r="G55" s="132">
        <f t="shared" si="21"/>
        <v>7448000</v>
      </c>
      <c r="H55" s="132">
        <f t="shared" si="21"/>
        <v>6140000</v>
      </c>
      <c r="I55" s="170">
        <f t="shared" si="21"/>
        <v>5180000</v>
      </c>
      <c r="J55" s="170">
        <f t="shared" si="21"/>
        <v>5180000</v>
      </c>
      <c r="K55" s="170">
        <f t="shared" si="21"/>
        <v>5140000</v>
      </c>
      <c r="L55" s="170">
        <f t="shared" si="21"/>
        <v>7604000</v>
      </c>
      <c r="M55" s="170">
        <f t="shared" si="21"/>
        <v>7160000</v>
      </c>
      <c r="N55" s="170">
        <f t="shared" si="21"/>
        <v>7100000</v>
      </c>
      <c r="O55" s="170">
        <f t="shared" si="21"/>
        <v>4479000</v>
      </c>
      <c r="P55" s="170">
        <f t="shared" si="21"/>
        <v>15553000</v>
      </c>
      <c r="Q55" s="170">
        <f t="shared" si="21"/>
        <v>47570000</v>
      </c>
      <c r="R55" s="66">
        <f t="shared" ref="R55:R57" si="22">Q55-P55</f>
        <v>32017000</v>
      </c>
      <c r="S55" s="419"/>
      <c r="T55" s="68"/>
      <c r="U55" s="68"/>
    </row>
    <row r="56" spans="1:21" ht="30" customHeight="1">
      <c r="A56" s="445"/>
      <c r="B56" s="627" t="s">
        <v>22</v>
      </c>
      <c r="C56" s="628"/>
      <c r="D56" s="118">
        <f t="shared" ref="D56:Q56" si="23">SUM(D57:D58)</f>
        <v>7448000</v>
      </c>
      <c r="E56" s="133">
        <f t="shared" si="23"/>
        <v>4220000</v>
      </c>
      <c r="F56" s="133">
        <f t="shared" si="23"/>
        <v>8220000</v>
      </c>
      <c r="G56" s="133">
        <f t="shared" si="23"/>
        <v>7448000</v>
      </c>
      <c r="H56" s="133">
        <f t="shared" si="23"/>
        <v>6140000</v>
      </c>
      <c r="I56" s="134">
        <f t="shared" si="23"/>
        <v>5180000</v>
      </c>
      <c r="J56" s="134">
        <f t="shared" si="23"/>
        <v>5180000</v>
      </c>
      <c r="K56" s="134">
        <f t="shared" si="23"/>
        <v>5140000</v>
      </c>
      <c r="L56" s="134">
        <f t="shared" si="23"/>
        <v>7604000</v>
      </c>
      <c r="M56" s="134">
        <f t="shared" si="23"/>
        <v>7160000</v>
      </c>
      <c r="N56" s="134">
        <f t="shared" si="23"/>
        <v>7100000</v>
      </c>
      <c r="O56" s="134">
        <f t="shared" si="23"/>
        <v>4479000</v>
      </c>
      <c r="P56" s="134">
        <f t="shared" ref="P56" si="24">SUM(P57:P58)</f>
        <v>15553000</v>
      </c>
      <c r="Q56" s="134">
        <f t="shared" si="23"/>
        <v>47570000</v>
      </c>
      <c r="R56" s="66">
        <f t="shared" si="22"/>
        <v>32017000</v>
      </c>
      <c r="S56" s="419"/>
      <c r="T56" s="68"/>
      <c r="U56" s="68"/>
    </row>
    <row r="57" spans="1:21" ht="30" customHeight="1">
      <c r="A57" s="445"/>
      <c r="B57" s="417"/>
      <c r="C57" s="416" t="s">
        <v>43</v>
      </c>
      <c r="D57" s="127">
        <v>40000</v>
      </c>
      <c r="E57" s="143">
        <v>40000</v>
      </c>
      <c r="F57" s="143">
        <v>40000</v>
      </c>
      <c r="G57" s="143">
        <v>40000</v>
      </c>
      <c r="H57" s="143">
        <v>200000</v>
      </c>
      <c r="I57" s="144">
        <v>40000</v>
      </c>
      <c r="J57" s="144">
        <v>40000</v>
      </c>
      <c r="K57" s="144">
        <f>T57</f>
        <v>0</v>
      </c>
      <c r="L57" s="144">
        <v>200000</v>
      </c>
      <c r="M57" s="144">
        <v>200000</v>
      </c>
      <c r="N57" s="144">
        <v>200000</v>
      </c>
      <c r="O57" s="144">
        <v>529000</v>
      </c>
      <c r="P57" s="144">
        <v>529000</v>
      </c>
      <c r="Q57" s="144">
        <f>U57</f>
        <v>0</v>
      </c>
      <c r="R57" s="66">
        <f t="shared" si="22"/>
        <v>-529000</v>
      </c>
      <c r="S57" s="446" t="s">
        <v>476</v>
      </c>
      <c r="T57" s="70"/>
      <c r="U57" s="70">
        <f>T57</f>
        <v>0</v>
      </c>
    </row>
    <row r="58" spans="1:21" ht="30" customHeight="1">
      <c r="A58" s="445"/>
      <c r="B58" s="417"/>
      <c r="C58" s="428" t="s">
        <v>30</v>
      </c>
      <c r="D58" s="120">
        <v>7408000</v>
      </c>
      <c r="E58" s="135">
        <v>4180000</v>
      </c>
      <c r="F58" s="135">
        <v>8180000</v>
      </c>
      <c r="G58" s="135">
        <v>7408000</v>
      </c>
      <c r="H58" s="135">
        <v>5940000</v>
      </c>
      <c r="I58" s="135">
        <v>5140000</v>
      </c>
      <c r="J58" s="135">
        <v>5140000</v>
      </c>
      <c r="K58" s="135">
        <v>5140000</v>
      </c>
      <c r="L58" s="135">
        <v>7404000</v>
      </c>
      <c r="M58" s="135">
        <v>6960000</v>
      </c>
      <c r="N58" s="135">
        <v>6900000</v>
      </c>
      <c r="O58" s="135">
        <v>3950000</v>
      </c>
      <c r="P58" s="135">
        <v>15024000</v>
      </c>
      <c r="Q58" s="135">
        <f>SUM(U58:U62)</f>
        <v>47570000</v>
      </c>
      <c r="R58" s="69">
        <f>Q58-P58</f>
        <v>32546000</v>
      </c>
      <c r="S58" s="446" t="s">
        <v>553</v>
      </c>
      <c r="T58" s="70">
        <v>2500000</v>
      </c>
      <c r="U58" s="70">
        <f>SUM(T58:T60)</f>
        <v>4800000</v>
      </c>
    </row>
    <row r="59" spans="1:21" ht="30" customHeight="1">
      <c r="A59" s="445"/>
      <c r="B59" s="417"/>
      <c r="C59" s="415"/>
      <c r="D59" s="128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97"/>
      <c r="S59" s="447" t="s">
        <v>554</v>
      </c>
      <c r="T59" s="72">
        <v>2000000</v>
      </c>
      <c r="U59" s="72"/>
    </row>
    <row r="60" spans="1:21" ht="30" customHeight="1">
      <c r="A60" s="445"/>
      <c r="B60" s="417"/>
      <c r="C60" s="415"/>
      <c r="D60" s="128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449"/>
      <c r="S60" s="412" t="s">
        <v>555</v>
      </c>
      <c r="T60" s="65">
        <v>300000</v>
      </c>
      <c r="U60" s="65"/>
    </row>
    <row r="61" spans="1:21" ht="30" customHeight="1">
      <c r="A61" s="445"/>
      <c r="B61" s="417"/>
      <c r="C61" s="415"/>
      <c r="D61" s="128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71"/>
      <c r="S61" s="447" t="s">
        <v>609</v>
      </c>
      <c r="T61" s="72">
        <f>900000*6</f>
        <v>5400000</v>
      </c>
      <c r="U61" s="72">
        <f>SUM(T61:T62)</f>
        <v>42770000</v>
      </c>
    </row>
    <row r="62" spans="1:21" ht="30" customHeight="1" thickBot="1">
      <c r="A62" s="450"/>
      <c r="B62" s="451"/>
      <c r="C62" s="452"/>
      <c r="D62" s="129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76"/>
      <c r="S62" s="543" t="s">
        <v>610</v>
      </c>
      <c r="T62" s="77">
        <f>3737000*10</f>
        <v>37370000</v>
      </c>
      <c r="U62" s="77"/>
    </row>
    <row r="63" spans="1:21" ht="16.5">
      <c r="A63" s="99"/>
      <c r="B63" s="99"/>
      <c r="C63" s="99"/>
      <c r="D63" s="99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9"/>
      <c r="T63" s="97"/>
      <c r="U63" s="97"/>
    </row>
    <row r="64" spans="1:21">
      <c r="A64"/>
      <c r="B64"/>
      <c r="C64"/>
      <c r="D64"/>
      <c r="E64" s="453"/>
      <c r="F64" s="453"/>
      <c r="G64" s="453"/>
      <c r="H64" s="453"/>
      <c r="I64" s="453"/>
      <c r="J64" s="453"/>
      <c r="K64" s="453"/>
      <c r="L64" s="453"/>
      <c r="M64" s="453"/>
      <c r="N64" s="453"/>
      <c r="O64" s="453"/>
      <c r="P64" s="453"/>
      <c r="Q64" s="453"/>
      <c r="R64" s="453"/>
      <c r="S64"/>
      <c r="T64" s="163"/>
      <c r="U64" s="163"/>
    </row>
    <row r="65" spans="1:21">
      <c r="A65"/>
      <c r="B65"/>
      <c r="C65"/>
      <c r="D65"/>
      <c r="E65" s="453"/>
      <c r="F65" s="453"/>
      <c r="G65" s="453"/>
      <c r="H65" s="453"/>
      <c r="I65" s="453"/>
      <c r="J65" s="453"/>
      <c r="K65" s="453"/>
      <c r="L65" s="453"/>
      <c r="M65" s="453"/>
      <c r="N65" s="453"/>
      <c r="O65" s="453"/>
      <c r="P65" s="453"/>
      <c r="Q65" s="453"/>
      <c r="R65" s="453"/>
      <c r="S65"/>
      <c r="T65" s="163"/>
      <c r="U65" s="163"/>
    </row>
    <row r="66" spans="1:21">
      <c r="T66" s="23"/>
      <c r="U66" s="23"/>
    </row>
    <row r="67" spans="1:21">
      <c r="T67" s="23"/>
      <c r="U67" s="23"/>
    </row>
    <row r="68" spans="1:21">
      <c r="T68" s="23"/>
      <c r="U68" s="23"/>
    </row>
    <row r="69" spans="1:21">
      <c r="T69" s="23"/>
      <c r="U69" s="23"/>
    </row>
    <row r="70" spans="1:21">
      <c r="T70" s="23"/>
      <c r="U70" s="23"/>
    </row>
    <row r="71" spans="1:21">
      <c r="T71" s="23"/>
      <c r="U71" s="23"/>
    </row>
    <row r="72" spans="1:21">
      <c r="S72" s="24"/>
    </row>
  </sheetData>
  <mergeCells count="15">
    <mergeCell ref="A51:C51"/>
    <mergeCell ref="B52:C52"/>
    <mergeCell ref="A55:C55"/>
    <mergeCell ref="B56:C56"/>
    <mergeCell ref="A29:C29"/>
    <mergeCell ref="B30:C30"/>
    <mergeCell ref="A37:C37"/>
    <mergeCell ref="B38:C38"/>
    <mergeCell ref="A40:C40"/>
    <mergeCell ref="B41:C41"/>
    <mergeCell ref="A1:U1"/>
    <mergeCell ref="S3:U3"/>
    <mergeCell ref="A4:C4"/>
    <mergeCell ref="A5:C5"/>
    <mergeCell ref="B6:C6"/>
  </mergeCells>
  <phoneticPr fontId="2" type="noConversion"/>
  <pageMargins left="0.43" right="0.27559055118110237" top="0.47244094488188981" bottom="0.23622047244094491" header="7.874015748031496E-2" footer="0"/>
  <pageSetup paperSize="9" scale="94" fitToHeight="0" orientation="landscape" r:id="rId1"/>
  <headerFooter alignWithMargins="0"/>
  <rowBreaks count="1" manualBreakCount="1">
    <brk id="6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A90C4-296F-4CBC-8940-681C84BD5DA3}">
  <sheetPr>
    <pageSetUpPr fitToPage="1"/>
  </sheetPr>
  <dimension ref="A1:W288"/>
  <sheetViews>
    <sheetView topLeftCell="A103" zoomScaleNormal="100" workbookViewId="0">
      <selection activeCell="AD9" sqref="AD9"/>
    </sheetView>
  </sheetViews>
  <sheetFormatPr defaultRowHeight="13.5"/>
  <cols>
    <col min="1" max="1" width="9.5546875" style="529" customWidth="1"/>
    <col min="2" max="2" width="11.109375" style="529" customWidth="1"/>
    <col min="3" max="3" width="12.33203125" style="529" customWidth="1"/>
    <col min="4" max="4" width="10.33203125" style="529" hidden="1" customWidth="1"/>
    <col min="5" max="7" width="10.6640625" style="530" hidden="1" customWidth="1"/>
    <col min="8" max="8" width="9.33203125" style="530" hidden="1" customWidth="1"/>
    <col min="9" max="10" width="0.109375" style="530" hidden="1" customWidth="1"/>
    <col min="11" max="12" width="10.33203125" style="530" hidden="1" customWidth="1"/>
    <col min="13" max="13" width="0.44140625" style="530" hidden="1" customWidth="1"/>
    <col min="14" max="15" width="9.44140625" style="530" hidden="1" customWidth="1"/>
    <col min="16" max="16" width="10.33203125" style="530" customWidth="1"/>
    <col min="17" max="17" width="10.44140625" style="530" customWidth="1"/>
    <col min="18" max="18" width="9.5546875" style="530" customWidth="1"/>
    <col min="19" max="19" width="18.5546875" style="7" customWidth="1"/>
    <col min="20" max="20" width="12.88671875" style="531" customWidth="1"/>
    <col min="21" max="21" width="38.88671875" style="529" bestFit="1" customWidth="1"/>
    <col min="22" max="22" width="14.88671875" style="6" bestFit="1" customWidth="1"/>
    <col min="23" max="23" width="13.44140625" style="113" customWidth="1"/>
  </cols>
  <sheetData>
    <row r="1" spans="1:22" ht="40.5" customHeight="1">
      <c r="A1" s="640" t="s">
        <v>613</v>
      </c>
      <c r="B1" s="640"/>
      <c r="C1" s="640"/>
      <c r="D1" s="640"/>
      <c r="E1" s="640"/>
      <c r="F1" s="640"/>
      <c r="G1" s="640"/>
      <c r="H1" s="640"/>
      <c r="I1" s="640"/>
      <c r="J1" s="640"/>
      <c r="K1" s="640"/>
      <c r="L1" s="640"/>
      <c r="M1" s="640"/>
      <c r="N1" s="640"/>
      <c r="O1" s="640"/>
      <c r="P1" s="640"/>
      <c r="Q1" s="640"/>
      <c r="R1" s="640"/>
      <c r="S1" s="640"/>
      <c r="T1" s="640"/>
      <c r="U1" s="640"/>
      <c r="V1" s="640"/>
    </row>
    <row r="2" spans="1:22" ht="17.25" customHeight="1" thickBot="1">
      <c r="A2" s="454"/>
      <c r="B2" s="454"/>
      <c r="C2" s="454"/>
      <c r="D2" s="454"/>
      <c r="E2" s="455"/>
      <c r="F2" s="455"/>
      <c r="G2" s="455"/>
      <c r="H2" s="455"/>
      <c r="I2" s="455"/>
      <c r="J2" s="455"/>
      <c r="K2" s="455"/>
      <c r="L2" s="455"/>
      <c r="M2" s="455"/>
      <c r="N2" s="455"/>
      <c r="O2" s="455"/>
      <c r="P2" s="455"/>
      <c r="Q2" s="455"/>
      <c r="R2" s="455"/>
      <c r="S2" s="20"/>
      <c r="T2" s="456"/>
      <c r="U2" s="454"/>
      <c r="V2" s="457" t="s">
        <v>60</v>
      </c>
    </row>
    <row r="3" spans="1:22" ht="23.25" customHeight="1" thickBot="1">
      <c r="A3" s="458" t="s">
        <v>3</v>
      </c>
      <c r="B3" s="406" t="s">
        <v>4</v>
      </c>
      <c r="C3" s="459" t="s">
        <v>5</v>
      </c>
      <c r="D3" s="153" t="s">
        <v>179</v>
      </c>
      <c r="E3" s="160" t="s">
        <v>180</v>
      </c>
      <c r="F3" s="160" t="s">
        <v>185</v>
      </c>
      <c r="G3" s="160" t="s">
        <v>179</v>
      </c>
      <c r="H3" s="160" t="s">
        <v>180</v>
      </c>
      <c r="I3" s="160" t="s">
        <v>205</v>
      </c>
      <c r="J3" s="160" t="s">
        <v>270</v>
      </c>
      <c r="K3" s="160" t="s">
        <v>185</v>
      </c>
      <c r="L3" s="212" t="s">
        <v>282</v>
      </c>
      <c r="M3" s="160" t="s">
        <v>283</v>
      </c>
      <c r="N3" s="160" t="s">
        <v>405</v>
      </c>
      <c r="O3" s="160" t="s">
        <v>406</v>
      </c>
      <c r="P3" s="160" t="s">
        <v>332</v>
      </c>
      <c r="Q3" s="160" t="s">
        <v>311</v>
      </c>
      <c r="R3" s="460" t="s">
        <v>178</v>
      </c>
      <c r="S3" s="641" t="s">
        <v>61</v>
      </c>
      <c r="T3" s="642"/>
      <c r="U3" s="642"/>
      <c r="V3" s="643"/>
    </row>
    <row r="4" spans="1:22" s="461" customFormat="1" ht="23.25" customHeight="1" thickTop="1">
      <c r="A4" s="644" t="s">
        <v>24</v>
      </c>
      <c r="B4" s="645"/>
      <c r="C4" s="645"/>
      <c r="D4" s="154">
        <f t="shared" ref="D4:Q4" si="0">D5+D107+D118+D277+D280</f>
        <v>544151000</v>
      </c>
      <c r="E4" s="146">
        <f t="shared" si="0"/>
        <v>542833000</v>
      </c>
      <c r="F4" s="146" t="e">
        <f t="shared" si="0"/>
        <v>#REF!</v>
      </c>
      <c r="G4" s="146">
        <f t="shared" si="0"/>
        <v>544151000</v>
      </c>
      <c r="H4" s="146" t="e">
        <f t="shared" si="0"/>
        <v>#REF!</v>
      </c>
      <c r="I4" s="146">
        <f t="shared" si="0"/>
        <v>1529043000</v>
      </c>
      <c r="J4" s="146">
        <f t="shared" si="0"/>
        <v>1941858000</v>
      </c>
      <c r="K4" s="146">
        <f t="shared" si="0"/>
        <v>2023145000</v>
      </c>
      <c r="L4" s="146">
        <f t="shared" si="0"/>
        <v>2478549400</v>
      </c>
      <c r="M4" s="146">
        <f t="shared" si="0"/>
        <v>3115068000</v>
      </c>
      <c r="N4" s="146">
        <f t="shared" si="0"/>
        <v>3163015000</v>
      </c>
      <c r="O4" s="146">
        <f t="shared" si="0"/>
        <v>3157791000</v>
      </c>
      <c r="P4" s="146">
        <f t="shared" si="0"/>
        <v>3150827000</v>
      </c>
      <c r="Q4" s="146">
        <f t="shared" si="0"/>
        <v>3197042000</v>
      </c>
      <c r="R4" s="114">
        <f>Q4-P4</f>
        <v>46215000</v>
      </c>
      <c r="S4" s="78"/>
      <c r="T4" s="554"/>
      <c r="U4" s="555"/>
      <c r="V4" s="176"/>
    </row>
    <row r="5" spans="1:22" s="461" customFormat="1" ht="23.25" customHeight="1">
      <c r="A5" s="646" t="s">
        <v>10</v>
      </c>
      <c r="B5" s="647"/>
      <c r="C5" s="647"/>
      <c r="D5" s="218">
        <f t="shared" ref="D5:Q5" si="1">D6+D43+D54</f>
        <v>430695000</v>
      </c>
      <c r="E5" s="219">
        <f t="shared" si="1"/>
        <v>442423000</v>
      </c>
      <c r="F5" s="219">
        <f t="shared" si="1"/>
        <v>442270000</v>
      </c>
      <c r="G5" s="219">
        <f t="shared" si="1"/>
        <v>430695000</v>
      </c>
      <c r="H5" s="215">
        <f t="shared" si="1"/>
        <v>459818000</v>
      </c>
      <c r="I5" s="215">
        <f t="shared" si="1"/>
        <v>504747000</v>
      </c>
      <c r="J5" s="215">
        <f t="shared" si="1"/>
        <v>525468000</v>
      </c>
      <c r="K5" s="215">
        <f t="shared" si="1"/>
        <v>527890000</v>
      </c>
      <c r="L5" s="219">
        <f t="shared" si="1"/>
        <v>532749000</v>
      </c>
      <c r="M5" s="147">
        <f t="shared" si="1"/>
        <v>560251000</v>
      </c>
      <c r="N5" s="147">
        <f t="shared" si="1"/>
        <v>556005000</v>
      </c>
      <c r="O5" s="147">
        <f t="shared" si="1"/>
        <v>539239000</v>
      </c>
      <c r="P5" s="147">
        <f t="shared" si="1"/>
        <v>531573000</v>
      </c>
      <c r="Q5" s="147">
        <f t="shared" si="1"/>
        <v>577397000</v>
      </c>
      <c r="R5" s="114">
        <f>Q5-P5</f>
        <v>45824000</v>
      </c>
      <c r="S5" s="79"/>
      <c r="T5" s="533"/>
      <c r="U5" s="534"/>
      <c r="V5" s="177"/>
    </row>
    <row r="6" spans="1:22" ht="23.25" customHeight="1">
      <c r="A6" s="441"/>
      <c r="B6" s="628" t="s">
        <v>42</v>
      </c>
      <c r="C6" s="648"/>
      <c r="D6" s="155">
        <f t="shared" ref="D6:Q6" si="2">SUM(D7:D42)</f>
        <v>314390000</v>
      </c>
      <c r="E6" s="148">
        <f t="shared" si="2"/>
        <v>330794000</v>
      </c>
      <c r="F6" s="148">
        <f t="shared" si="2"/>
        <v>330509000</v>
      </c>
      <c r="G6" s="148">
        <f t="shared" si="2"/>
        <v>314390000</v>
      </c>
      <c r="H6" s="148">
        <f t="shared" si="2"/>
        <v>350342000</v>
      </c>
      <c r="I6" s="148">
        <f t="shared" si="2"/>
        <v>386354000</v>
      </c>
      <c r="J6" s="148">
        <f t="shared" si="2"/>
        <v>408807000</v>
      </c>
      <c r="K6" s="148">
        <f t="shared" si="2"/>
        <v>399731000</v>
      </c>
      <c r="L6" s="148">
        <f t="shared" si="2"/>
        <v>401880000</v>
      </c>
      <c r="M6" s="148">
        <f t="shared" si="2"/>
        <v>430467000</v>
      </c>
      <c r="N6" s="148">
        <f t="shared" si="2"/>
        <v>423479000</v>
      </c>
      <c r="O6" s="148">
        <f t="shared" si="2"/>
        <v>419983000</v>
      </c>
      <c r="P6" s="148">
        <f t="shared" si="2"/>
        <v>419287000</v>
      </c>
      <c r="Q6" s="148">
        <f t="shared" si="2"/>
        <v>435297000</v>
      </c>
      <c r="R6" s="114">
        <f>Q6-P6</f>
        <v>16010000</v>
      </c>
      <c r="S6" s="81" t="s">
        <v>62</v>
      </c>
      <c r="T6" s="532" t="s">
        <v>37</v>
      </c>
      <c r="U6" s="418"/>
      <c r="V6" s="178"/>
    </row>
    <row r="7" spans="1:22" ht="23.25" customHeight="1">
      <c r="A7" s="441"/>
      <c r="B7" s="442"/>
      <c r="C7" s="442" t="s">
        <v>12</v>
      </c>
      <c r="D7" s="463">
        <v>218997000</v>
      </c>
      <c r="E7" s="464">
        <v>229395000</v>
      </c>
      <c r="F7" s="464">
        <v>229395000</v>
      </c>
      <c r="G7" s="465">
        <v>218997000</v>
      </c>
      <c r="H7" s="465">
        <v>230087000</v>
      </c>
      <c r="I7" s="465">
        <v>262591000</v>
      </c>
      <c r="J7" s="465">
        <v>275853000</v>
      </c>
      <c r="K7" s="465">
        <v>267392000</v>
      </c>
      <c r="L7" s="465">
        <v>267392000</v>
      </c>
      <c r="M7" s="465">
        <v>282641000</v>
      </c>
      <c r="N7" s="465">
        <v>282436000</v>
      </c>
      <c r="O7" s="465">
        <v>280156000</v>
      </c>
      <c r="P7" s="465">
        <v>279703000</v>
      </c>
      <c r="Q7" s="465">
        <f>ROUNDUP(SUM(V7:V20),-3)</f>
        <v>293574000</v>
      </c>
      <c r="R7" s="466">
        <f>Q7-P7</f>
        <v>13871000</v>
      </c>
      <c r="S7" s="83" t="s">
        <v>46</v>
      </c>
      <c r="T7" s="101">
        <v>20</v>
      </c>
      <c r="U7" s="84" t="s">
        <v>312</v>
      </c>
      <c r="V7" s="179">
        <f>4592900*12</f>
        <v>55114800</v>
      </c>
    </row>
    <row r="8" spans="1:22" ht="23.25" customHeight="1">
      <c r="A8" s="441"/>
      <c r="B8" s="417"/>
      <c r="C8" s="417"/>
      <c r="D8" s="469"/>
      <c r="E8" s="470"/>
      <c r="F8" s="470"/>
      <c r="G8" s="470"/>
      <c r="H8" s="470"/>
      <c r="I8" s="470"/>
      <c r="J8" s="470"/>
      <c r="K8" s="470"/>
      <c r="L8" s="470"/>
      <c r="M8" s="470"/>
      <c r="N8" s="470"/>
      <c r="O8" s="470"/>
      <c r="P8" s="470"/>
      <c r="Q8" s="470"/>
      <c r="R8" s="471"/>
      <c r="S8" s="85" t="s">
        <v>157</v>
      </c>
      <c r="T8" s="102">
        <v>20</v>
      </c>
      <c r="U8" s="86" t="s">
        <v>313</v>
      </c>
      <c r="V8" s="180">
        <f>3808900*11</f>
        <v>41897900</v>
      </c>
    </row>
    <row r="9" spans="1:22" ht="23.25" customHeight="1">
      <c r="A9" s="441"/>
      <c r="B9" s="417"/>
      <c r="C9" s="417"/>
      <c r="D9" s="469"/>
      <c r="E9" s="470"/>
      <c r="F9" s="470"/>
      <c r="G9" s="470"/>
      <c r="H9" s="470"/>
      <c r="I9" s="470"/>
      <c r="J9" s="470"/>
      <c r="K9" s="470"/>
      <c r="L9" s="470"/>
      <c r="M9" s="470"/>
      <c r="N9" s="470"/>
      <c r="O9" s="470"/>
      <c r="P9" s="470"/>
      <c r="Q9" s="470"/>
      <c r="R9" s="471"/>
      <c r="S9" s="85"/>
      <c r="T9" s="102">
        <v>21</v>
      </c>
      <c r="U9" s="86" t="s">
        <v>314</v>
      </c>
      <c r="V9" s="180">
        <f>3863200*1</f>
        <v>3863200</v>
      </c>
    </row>
    <row r="10" spans="1:22" ht="23.25" customHeight="1">
      <c r="A10" s="441"/>
      <c r="B10" s="417"/>
      <c r="C10" s="417"/>
      <c r="D10" s="469"/>
      <c r="E10" s="470"/>
      <c r="F10" s="470"/>
      <c r="G10" s="470"/>
      <c r="H10" s="470"/>
      <c r="I10" s="470"/>
      <c r="J10" s="470"/>
      <c r="K10" s="470"/>
      <c r="L10" s="470"/>
      <c r="M10" s="470"/>
      <c r="N10" s="470"/>
      <c r="O10" s="470"/>
      <c r="P10" s="470"/>
      <c r="Q10" s="470"/>
      <c r="R10" s="471"/>
      <c r="S10" s="85" t="s">
        <v>157</v>
      </c>
      <c r="T10" s="102">
        <v>16</v>
      </c>
      <c r="U10" s="86" t="s">
        <v>315</v>
      </c>
      <c r="V10" s="180">
        <f>3556000*12</f>
        <v>42672000</v>
      </c>
    </row>
    <row r="11" spans="1:22" ht="23.25" customHeight="1">
      <c r="A11" s="441"/>
      <c r="B11" s="417"/>
      <c r="C11" s="417"/>
      <c r="D11" s="469"/>
      <c r="E11" s="470"/>
      <c r="F11" s="470"/>
      <c r="G11" s="470"/>
      <c r="H11" s="470"/>
      <c r="I11" s="470"/>
      <c r="J11" s="470"/>
      <c r="K11" s="470"/>
      <c r="L11" s="470"/>
      <c r="M11" s="470"/>
      <c r="N11" s="470"/>
      <c r="O11" s="470"/>
      <c r="P11" s="470"/>
      <c r="Q11" s="470"/>
      <c r="R11" s="471"/>
      <c r="S11" s="85" t="s">
        <v>206</v>
      </c>
      <c r="T11" s="102">
        <v>8</v>
      </c>
      <c r="U11" s="86" t="s">
        <v>316</v>
      </c>
      <c r="V11" s="180">
        <f>2580100*1</f>
        <v>2580100</v>
      </c>
    </row>
    <row r="12" spans="1:22" ht="23.25" customHeight="1">
      <c r="A12" s="441"/>
      <c r="B12" s="417"/>
      <c r="C12" s="417"/>
      <c r="D12" s="469"/>
      <c r="E12" s="470"/>
      <c r="F12" s="470"/>
      <c r="G12" s="470"/>
      <c r="H12" s="470"/>
      <c r="I12" s="470"/>
      <c r="J12" s="470"/>
      <c r="K12" s="470"/>
      <c r="L12" s="470"/>
      <c r="M12" s="470"/>
      <c r="N12" s="470"/>
      <c r="O12" s="470"/>
      <c r="P12" s="470"/>
      <c r="Q12" s="470"/>
      <c r="R12" s="471"/>
      <c r="S12" s="85"/>
      <c r="T12" s="102">
        <v>9</v>
      </c>
      <c r="U12" s="86" t="s">
        <v>317</v>
      </c>
      <c r="V12" s="180">
        <f>2681500*11</f>
        <v>29496500</v>
      </c>
    </row>
    <row r="13" spans="1:22" ht="23.25" customHeight="1">
      <c r="A13" s="441"/>
      <c r="B13" s="417"/>
      <c r="C13" s="417"/>
      <c r="D13" s="469"/>
      <c r="E13" s="470"/>
      <c r="F13" s="470"/>
      <c r="G13" s="470"/>
      <c r="H13" s="470"/>
      <c r="I13" s="470"/>
      <c r="J13" s="470"/>
      <c r="K13" s="470"/>
      <c r="L13" s="470"/>
      <c r="M13" s="470"/>
      <c r="N13" s="470"/>
      <c r="O13" s="470"/>
      <c r="P13" s="470"/>
      <c r="Q13" s="470"/>
      <c r="R13" s="471"/>
      <c r="S13" s="85" t="s">
        <v>218</v>
      </c>
      <c r="T13" s="102">
        <v>11</v>
      </c>
      <c r="U13" s="86" t="s">
        <v>318</v>
      </c>
      <c r="V13" s="180">
        <f>2634000*9</f>
        <v>23706000</v>
      </c>
    </row>
    <row r="14" spans="1:22" ht="23.25" customHeight="1">
      <c r="A14" s="441"/>
      <c r="B14" s="417"/>
      <c r="C14" s="417"/>
      <c r="D14" s="469"/>
      <c r="E14" s="470"/>
      <c r="F14" s="470"/>
      <c r="G14" s="470"/>
      <c r="H14" s="470"/>
      <c r="I14" s="470"/>
      <c r="J14" s="470"/>
      <c r="K14" s="470"/>
      <c r="L14" s="470"/>
      <c r="M14" s="470"/>
      <c r="N14" s="470"/>
      <c r="O14" s="470"/>
      <c r="P14" s="470"/>
      <c r="Q14" s="470"/>
      <c r="R14" s="471"/>
      <c r="S14" s="85"/>
      <c r="T14" s="102">
        <v>12</v>
      </c>
      <c r="U14" s="86" t="s">
        <v>319</v>
      </c>
      <c r="V14" s="180">
        <f>2702500*3</f>
        <v>8107500</v>
      </c>
    </row>
    <row r="15" spans="1:22" ht="23.25" customHeight="1">
      <c r="A15" s="441"/>
      <c r="B15" s="417"/>
      <c r="C15" s="417"/>
      <c r="D15" s="469"/>
      <c r="E15" s="470"/>
      <c r="F15" s="470"/>
      <c r="G15" s="470"/>
      <c r="H15" s="470"/>
      <c r="I15" s="470"/>
      <c r="J15" s="470"/>
      <c r="K15" s="470"/>
      <c r="L15" s="470"/>
      <c r="M15" s="470"/>
      <c r="N15" s="470"/>
      <c r="O15" s="470"/>
      <c r="P15" s="470"/>
      <c r="Q15" s="470"/>
      <c r="R15" s="471"/>
      <c r="S15" s="211" t="s">
        <v>190</v>
      </c>
      <c r="T15" s="104">
        <v>9</v>
      </c>
      <c r="U15" s="87" t="s">
        <v>333</v>
      </c>
      <c r="V15" s="180">
        <f>2221900*8</f>
        <v>17775200</v>
      </c>
    </row>
    <row r="16" spans="1:22" ht="23.25" customHeight="1">
      <c r="A16" s="441"/>
      <c r="B16" s="417"/>
      <c r="C16" s="417"/>
      <c r="D16" s="469"/>
      <c r="E16" s="470"/>
      <c r="F16" s="470"/>
      <c r="G16" s="470"/>
      <c r="H16" s="470"/>
      <c r="I16" s="470"/>
      <c r="J16" s="470"/>
      <c r="K16" s="470"/>
      <c r="L16" s="470"/>
      <c r="M16" s="470"/>
      <c r="N16" s="470"/>
      <c r="O16" s="470"/>
      <c r="P16" s="470"/>
      <c r="Q16" s="470"/>
      <c r="R16" s="471"/>
      <c r="S16" s="211"/>
      <c r="T16" s="104">
        <v>10</v>
      </c>
      <c r="U16" s="87" t="s">
        <v>334</v>
      </c>
      <c r="V16" s="180">
        <f>2317000*4</f>
        <v>9268000</v>
      </c>
    </row>
    <row r="17" spans="1:23" ht="23.25" customHeight="1">
      <c r="A17" s="441"/>
      <c r="B17" s="417"/>
      <c r="C17" s="417"/>
      <c r="D17" s="469"/>
      <c r="E17" s="470"/>
      <c r="F17" s="470"/>
      <c r="G17" s="470"/>
      <c r="H17" s="470"/>
      <c r="I17" s="470"/>
      <c r="J17" s="470"/>
      <c r="K17" s="470"/>
      <c r="L17" s="470"/>
      <c r="M17" s="470"/>
      <c r="N17" s="470"/>
      <c r="O17" s="470"/>
      <c r="P17" s="470"/>
      <c r="Q17" s="470"/>
      <c r="R17" s="471"/>
      <c r="S17" s="211" t="s">
        <v>191</v>
      </c>
      <c r="T17" s="104">
        <v>9</v>
      </c>
      <c r="U17" s="87" t="s">
        <v>320</v>
      </c>
      <c r="V17" s="180">
        <f>2410600*3</f>
        <v>7231800</v>
      </c>
    </row>
    <row r="18" spans="1:23" ht="23.25" customHeight="1">
      <c r="A18" s="441"/>
      <c r="B18" s="417"/>
      <c r="C18" s="417"/>
      <c r="D18" s="469"/>
      <c r="E18" s="470"/>
      <c r="F18" s="470"/>
      <c r="G18" s="470"/>
      <c r="H18" s="470"/>
      <c r="I18" s="470"/>
      <c r="J18" s="470"/>
      <c r="K18" s="470"/>
      <c r="L18" s="470"/>
      <c r="M18" s="470"/>
      <c r="N18" s="470"/>
      <c r="O18" s="470"/>
      <c r="P18" s="470"/>
      <c r="Q18" s="470"/>
      <c r="R18" s="471"/>
      <c r="S18" s="211"/>
      <c r="T18" s="104">
        <v>10</v>
      </c>
      <c r="U18" s="87" t="s">
        <v>321</v>
      </c>
      <c r="V18" s="180">
        <f>2490200*9</f>
        <v>22411800</v>
      </c>
    </row>
    <row r="19" spans="1:23" ht="23.25" customHeight="1">
      <c r="A19" s="441"/>
      <c r="B19" s="417"/>
      <c r="C19" s="417"/>
      <c r="D19" s="469"/>
      <c r="E19" s="470"/>
      <c r="F19" s="470"/>
      <c r="G19" s="470"/>
      <c r="H19" s="470"/>
      <c r="I19" s="470"/>
      <c r="J19" s="470"/>
      <c r="K19" s="470"/>
      <c r="L19" s="470"/>
      <c r="M19" s="470"/>
      <c r="N19" s="470"/>
      <c r="O19" s="470"/>
      <c r="P19" s="470"/>
      <c r="Q19" s="470"/>
      <c r="R19" s="471"/>
      <c r="S19" s="211" t="s">
        <v>192</v>
      </c>
      <c r="T19" s="104">
        <v>10</v>
      </c>
      <c r="U19" s="87" t="s">
        <v>322</v>
      </c>
      <c r="V19" s="180">
        <f>2397500*4</f>
        <v>9590000</v>
      </c>
    </row>
    <row r="20" spans="1:23" ht="23.25" customHeight="1">
      <c r="A20" s="441"/>
      <c r="B20" s="417"/>
      <c r="C20" s="423"/>
      <c r="D20" s="475"/>
      <c r="E20" s="476"/>
      <c r="F20" s="476"/>
      <c r="G20" s="476"/>
      <c r="H20" s="476"/>
      <c r="I20" s="476"/>
      <c r="J20" s="476"/>
      <c r="K20" s="476"/>
      <c r="L20" s="476"/>
      <c r="M20" s="476"/>
      <c r="N20" s="476"/>
      <c r="O20" s="476"/>
      <c r="P20" s="476"/>
      <c r="Q20" s="476"/>
      <c r="R20" s="497"/>
      <c r="S20" s="293"/>
      <c r="T20" s="105">
        <v>11</v>
      </c>
      <c r="U20" s="88" t="s">
        <v>323</v>
      </c>
      <c r="V20" s="181">
        <f>2482400*8</f>
        <v>19859200</v>
      </c>
    </row>
    <row r="21" spans="1:23" ht="23.25" customHeight="1">
      <c r="A21" s="441"/>
      <c r="B21" s="417"/>
      <c r="C21" s="417" t="s">
        <v>36</v>
      </c>
      <c r="D21" s="469"/>
      <c r="E21" s="470"/>
      <c r="F21" s="470"/>
      <c r="G21" s="470"/>
      <c r="H21" s="470">
        <v>12495000</v>
      </c>
      <c r="I21" s="470">
        <v>10200000</v>
      </c>
      <c r="J21" s="470">
        <v>10900000</v>
      </c>
      <c r="K21" s="470">
        <v>11800000</v>
      </c>
      <c r="L21" s="470">
        <v>11800000</v>
      </c>
      <c r="M21" s="470">
        <v>13200000</v>
      </c>
      <c r="N21" s="470">
        <v>13200000</v>
      </c>
      <c r="O21" s="470">
        <v>13200000</v>
      </c>
      <c r="P21" s="470">
        <v>13200000</v>
      </c>
      <c r="Q21" s="470">
        <f>SUM(V21:V22)</f>
        <v>13200000</v>
      </c>
      <c r="R21" s="471">
        <f>Q21-P21</f>
        <v>0</v>
      </c>
      <c r="S21" s="211" t="s">
        <v>231</v>
      </c>
      <c r="T21" s="102" t="s">
        <v>212</v>
      </c>
      <c r="U21" s="86" t="s">
        <v>284</v>
      </c>
      <c r="V21" s="182">
        <f>10000*4*25*12</f>
        <v>12000000</v>
      </c>
    </row>
    <row r="22" spans="1:23" ht="23.25" customHeight="1">
      <c r="A22" s="441"/>
      <c r="B22" s="417"/>
      <c r="C22" s="417"/>
      <c r="D22" s="469"/>
      <c r="E22" s="470"/>
      <c r="F22" s="470"/>
      <c r="G22" s="470"/>
      <c r="H22" s="470"/>
      <c r="I22" s="470"/>
      <c r="J22" s="470"/>
      <c r="K22" s="470"/>
      <c r="L22" s="470"/>
      <c r="M22" s="470"/>
      <c r="N22" s="470"/>
      <c r="O22" s="470"/>
      <c r="P22" s="470"/>
      <c r="Q22" s="470"/>
      <c r="R22" s="471"/>
      <c r="S22" s="211" t="s">
        <v>232</v>
      </c>
      <c r="T22" s="102"/>
      <c r="U22" s="86" t="s">
        <v>210</v>
      </c>
      <c r="V22" s="182">
        <f>100000*12</f>
        <v>1200000</v>
      </c>
    </row>
    <row r="23" spans="1:23" ht="23.25" customHeight="1">
      <c r="A23" s="441"/>
      <c r="B23" s="417"/>
      <c r="C23" s="442" t="s">
        <v>13</v>
      </c>
      <c r="D23" s="478">
        <v>46019000</v>
      </c>
      <c r="E23" s="465">
        <v>49755000</v>
      </c>
      <c r="F23" s="465">
        <v>49497000</v>
      </c>
      <c r="G23" s="465">
        <v>46019000</v>
      </c>
      <c r="H23" s="465">
        <v>48790000</v>
      </c>
      <c r="I23" s="465">
        <v>58956000</v>
      </c>
      <c r="J23" s="465">
        <v>63906000</v>
      </c>
      <c r="K23" s="465">
        <v>63247000</v>
      </c>
      <c r="L23" s="465">
        <v>63247000</v>
      </c>
      <c r="M23" s="465">
        <v>70633000</v>
      </c>
      <c r="N23" s="465">
        <v>64007000</v>
      </c>
      <c r="O23" s="465">
        <v>63059000</v>
      </c>
      <c r="P23" s="465">
        <v>62618000</v>
      </c>
      <c r="Q23" s="465">
        <f>ROUND(SUM(V23:V32),-3)</f>
        <v>63312000</v>
      </c>
      <c r="R23" s="466">
        <f>Q23-P23</f>
        <v>694000</v>
      </c>
      <c r="S23" s="83" t="s">
        <v>193</v>
      </c>
      <c r="T23" s="101"/>
      <c r="U23" s="84" t="s">
        <v>335</v>
      </c>
      <c r="V23" s="179">
        <f>14680500*2</f>
        <v>29361000</v>
      </c>
      <c r="W23" s="556"/>
    </row>
    <row r="24" spans="1:23" ht="23.25" customHeight="1">
      <c r="A24" s="441"/>
      <c r="B24" s="417"/>
      <c r="C24" s="417"/>
      <c r="D24" s="469"/>
      <c r="E24" s="470"/>
      <c r="F24" s="470"/>
      <c r="G24" s="470"/>
      <c r="H24" s="470"/>
      <c r="I24" s="470"/>
      <c r="J24" s="470"/>
      <c r="K24" s="470"/>
      <c r="L24" s="470"/>
      <c r="M24" s="470"/>
      <c r="N24" s="470"/>
      <c r="O24" s="470"/>
      <c r="P24" s="470"/>
      <c r="Q24" s="470"/>
      <c r="R24" s="471"/>
      <c r="S24" s="85"/>
      <c r="T24" s="102" t="s">
        <v>0</v>
      </c>
      <c r="U24" s="86" t="s">
        <v>336</v>
      </c>
      <c r="V24" s="180">
        <f>495700*5*2</f>
        <v>4957000</v>
      </c>
      <c r="W24" s="556"/>
    </row>
    <row r="25" spans="1:23" ht="23.25" customHeight="1">
      <c r="A25" s="441"/>
      <c r="B25" s="417"/>
      <c r="C25" s="417"/>
      <c r="D25" s="469"/>
      <c r="E25" s="470"/>
      <c r="F25" s="470"/>
      <c r="G25" s="470"/>
      <c r="H25" s="470"/>
      <c r="I25" s="470"/>
      <c r="J25" s="470"/>
      <c r="K25" s="470"/>
      <c r="L25" s="470"/>
      <c r="M25" s="470"/>
      <c r="N25" s="470"/>
      <c r="O25" s="470"/>
      <c r="P25" s="470"/>
      <c r="Q25" s="470"/>
      <c r="R25" s="471"/>
      <c r="S25" s="85"/>
      <c r="T25" s="102" t="s">
        <v>194</v>
      </c>
      <c r="U25" s="86" t="s">
        <v>337</v>
      </c>
      <c r="V25" s="180">
        <f>1126200*1*1</f>
        <v>1126200</v>
      </c>
      <c r="W25" s="556"/>
    </row>
    <row r="26" spans="1:23" ht="23.25" customHeight="1">
      <c r="A26" s="441"/>
      <c r="B26" s="417"/>
      <c r="C26" s="417"/>
      <c r="D26" s="469"/>
      <c r="E26" s="470"/>
      <c r="F26" s="470"/>
      <c r="G26" s="470"/>
      <c r="H26" s="470"/>
      <c r="I26" s="470"/>
      <c r="J26" s="470"/>
      <c r="K26" s="470"/>
      <c r="L26" s="470"/>
      <c r="M26" s="470"/>
      <c r="N26" s="470"/>
      <c r="O26" s="470"/>
      <c r="P26" s="470"/>
      <c r="Q26" s="470"/>
      <c r="R26" s="471"/>
      <c r="S26" s="85"/>
      <c r="T26" s="102" t="s">
        <v>285</v>
      </c>
      <c r="U26" s="86" t="s">
        <v>324</v>
      </c>
      <c r="V26" s="180">
        <f>1094000*2</f>
        <v>2188000</v>
      </c>
      <c r="W26" s="556"/>
    </row>
    <row r="27" spans="1:23" ht="23.25" customHeight="1">
      <c r="A27" s="441"/>
      <c r="B27" s="417"/>
      <c r="C27" s="417"/>
      <c r="D27" s="469"/>
      <c r="E27" s="470"/>
      <c r="F27" s="470"/>
      <c r="G27" s="470"/>
      <c r="H27" s="470"/>
      <c r="I27" s="470"/>
      <c r="J27" s="470"/>
      <c r="K27" s="470"/>
      <c r="L27" s="470"/>
      <c r="M27" s="470"/>
      <c r="N27" s="470"/>
      <c r="O27" s="470"/>
      <c r="P27" s="470"/>
      <c r="Q27" s="470"/>
      <c r="R27" s="471"/>
      <c r="S27" s="85"/>
      <c r="T27" s="102" t="s">
        <v>286</v>
      </c>
      <c r="U27" s="86" t="s">
        <v>289</v>
      </c>
      <c r="V27" s="180">
        <f>300000*2</f>
        <v>600000</v>
      </c>
    </row>
    <row r="28" spans="1:23" ht="23.25" customHeight="1">
      <c r="A28" s="441"/>
      <c r="B28" s="417"/>
      <c r="C28" s="417"/>
      <c r="D28" s="469"/>
      <c r="E28" s="470"/>
      <c r="F28" s="470"/>
      <c r="G28" s="470"/>
      <c r="H28" s="470"/>
      <c r="I28" s="470"/>
      <c r="J28" s="470"/>
      <c r="K28" s="470"/>
      <c r="L28" s="470"/>
      <c r="M28" s="470"/>
      <c r="N28" s="470"/>
      <c r="O28" s="470"/>
      <c r="P28" s="470"/>
      <c r="Q28" s="470"/>
      <c r="R28" s="471"/>
      <c r="S28" s="85" t="s">
        <v>195</v>
      </c>
      <c r="T28" s="102"/>
      <c r="U28" s="86" t="s">
        <v>241</v>
      </c>
      <c r="V28" s="180">
        <f>5*150000*12</f>
        <v>9000000</v>
      </c>
    </row>
    <row r="29" spans="1:23" ht="23.25" customHeight="1">
      <c r="A29" s="441"/>
      <c r="B29" s="417"/>
      <c r="C29" s="417"/>
      <c r="D29" s="469"/>
      <c r="E29" s="470"/>
      <c r="F29" s="470"/>
      <c r="G29" s="470"/>
      <c r="H29" s="470"/>
      <c r="I29" s="470"/>
      <c r="J29" s="470"/>
      <c r="K29" s="470"/>
      <c r="L29" s="470"/>
      <c r="M29" s="470"/>
      <c r="N29" s="470"/>
      <c r="O29" s="470"/>
      <c r="P29" s="470"/>
      <c r="Q29" s="470"/>
      <c r="R29" s="471"/>
      <c r="S29" s="85"/>
      <c r="T29" s="102"/>
      <c r="U29" s="86" t="s">
        <v>242</v>
      </c>
      <c r="V29" s="180">
        <f>120000*3*12</f>
        <v>4320000</v>
      </c>
    </row>
    <row r="30" spans="1:23" ht="23.25" customHeight="1">
      <c r="A30" s="441"/>
      <c r="B30" s="417"/>
      <c r="C30" s="417"/>
      <c r="D30" s="469"/>
      <c r="E30" s="470"/>
      <c r="F30" s="470"/>
      <c r="G30" s="470"/>
      <c r="H30" s="470"/>
      <c r="I30" s="470"/>
      <c r="J30" s="470"/>
      <c r="K30" s="470"/>
      <c r="L30" s="470"/>
      <c r="M30" s="470"/>
      <c r="N30" s="470"/>
      <c r="O30" s="470"/>
      <c r="P30" s="470"/>
      <c r="Q30" s="470"/>
      <c r="R30" s="471"/>
      <c r="S30" s="85" t="s">
        <v>350</v>
      </c>
      <c r="T30" s="102" t="s">
        <v>0</v>
      </c>
      <c r="U30" s="86" t="s">
        <v>339</v>
      </c>
      <c r="V30" s="180">
        <f>1*100000*12</f>
        <v>1200000</v>
      </c>
    </row>
    <row r="31" spans="1:23" ht="23.25" customHeight="1">
      <c r="A31" s="441"/>
      <c r="B31" s="417"/>
      <c r="C31" s="417"/>
      <c r="D31" s="469"/>
      <c r="E31" s="470"/>
      <c r="F31" s="470"/>
      <c r="G31" s="470"/>
      <c r="H31" s="470"/>
      <c r="I31" s="470"/>
      <c r="J31" s="470"/>
      <c r="K31" s="470"/>
      <c r="L31" s="470"/>
      <c r="M31" s="470"/>
      <c r="N31" s="470"/>
      <c r="O31" s="470"/>
      <c r="P31" s="470"/>
      <c r="Q31" s="470"/>
      <c r="R31" s="471"/>
      <c r="S31" s="85" t="s">
        <v>207</v>
      </c>
      <c r="T31" s="102" t="s">
        <v>208</v>
      </c>
      <c r="U31" s="86" t="s">
        <v>158</v>
      </c>
      <c r="V31" s="180">
        <f>200000*12</f>
        <v>2400000</v>
      </c>
    </row>
    <row r="32" spans="1:23" ht="23.25" customHeight="1">
      <c r="A32" s="441"/>
      <c r="B32" s="417"/>
      <c r="C32" s="417"/>
      <c r="D32" s="469"/>
      <c r="E32" s="470"/>
      <c r="F32" s="470"/>
      <c r="G32" s="470"/>
      <c r="H32" s="470"/>
      <c r="I32" s="470"/>
      <c r="J32" s="470"/>
      <c r="K32" s="470"/>
      <c r="L32" s="470"/>
      <c r="M32" s="470"/>
      <c r="N32" s="470"/>
      <c r="O32" s="470"/>
      <c r="P32" s="470"/>
      <c r="Q32" s="470"/>
      <c r="R32" s="471"/>
      <c r="S32" s="85" t="s">
        <v>196</v>
      </c>
      <c r="T32" s="104" t="s">
        <v>245</v>
      </c>
      <c r="U32" s="87" t="s">
        <v>338</v>
      </c>
      <c r="V32" s="180">
        <f>680000*12</f>
        <v>8160000</v>
      </c>
    </row>
    <row r="33" spans="1:23" ht="23.25" customHeight="1">
      <c r="A33" s="441"/>
      <c r="B33" s="417"/>
      <c r="C33" s="649" t="s">
        <v>63</v>
      </c>
      <c r="D33" s="478">
        <v>25494000</v>
      </c>
      <c r="E33" s="465">
        <v>26639000</v>
      </c>
      <c r="F33" s="465">
        <v>26612000</v>
      </c>
      <c r="G33" s="465">
        <v>25494000</v>
      </c>
      <c r="H33" s="465">
        <v>32816000</v>
      </c>
      <c r="I33" s="465">
        <v>27367000</v>
      </c>
      <c r="J33" s="465">
        <v>28936000</v>
      </c>
      <c r="K33" s="465">
        <v>28001000</v>
      </c>
      <c r="L33" s="465">
        <v>28001000</v>
      </c>
      <c r="M33" s="465">
        <v>28938000</v>
      </c>
      <c r="N33" s="465">
        <v>29579000</v>
      </c>
      <c r="O33" s="465">
        <v>29311000</v>
      </c>
      <c r="P33" s="465">
        <v>29509000</v>
      </c>
      <c r="Q33" s="465">
        <f>SUM(V33:V37)</f>
        <v>30573000</v>
      </c>
      <c r="R33" s="466">
        <f>Q33-P33</f>
        <v>1064000</v>
      </c>
      <c r="S33" s="83" t="s">
        <v>340</v>
      </c>
      <c r="T33" s="101"/>
      <c r="U33" s="195" t="s">
        <v>341</v>
      </c>
      <c r="V33" s="179">
        <f>2398500*12</f>
        <v>28782000</v>
      </c>
    </row>
    <row r="34" spans="1:23" ht="23.25" customHeight="1">
      <c r="A34" s="441"/>
      <c r="B34" s="417"/>
      <c r="C34" s="650"/>
      <c r="D34" s="469"/>
      <c r="E34" s="470"/>
      <c r="F34" s="470"/>
      <c r="G34" s="470"/>
      <c r="H34" s="470"/>
      <c r="I34" s="470"/>
      <c r="J34" s="470"/>
      <c r="K34" s="470"/>
      <c r="L34" s="470"/>
      <c r="M34" s="470"/>
      <c r="N34" s="470"/>
      <c r="O34" s="470"/>
      <c r="P34" s="470"/>
      <c r="Q34" s="470"/>
      <c r="R34" s="471"/>
      <c r="S34" s="85"/>
      <c r="T34" s="102" t="s">
        <v>0</v>
      </c>
      <c r="U34" s="196" t="s">
        <v>342</v>
      </c>
      <c r="V34" s="180">
        <f>ROUNDUP((8330*12)+413000,-3)</f>
        <v>513000</v>
      </c>
    </row>
    <row r="35" spans="1:23" ht="23.25" customHeight="1">
      <c r="A35" s="441"/>
      <c r="B35" s="417"/>
      <c r="C35" s="650"/>
      <c r="D35" s="469"/>
      <c r="E35" s="470"/>
      <c r="F35" s="470"/>
      <c r="G35" s="470"/>
      <c r="H35" s="470"/>
      <c r="I35" s="470"/>
      <c r="J35" s="470"/>
      <c r="K35" s="470"/>
      <c r="L35" s="470"/>
      <c r="M35" s="470"/>
      <c r="N35" s="470"/>
      <c r="O35" s="470"/>
      <c r="P35" s="470"/>
      <c r="Q35" s="470"/>
      <c r="R35" s="471"/>
      <c r="S35" s="85"/>
      <c r="T35" s="102" t="s">
        <v>194</v>
      </c>
      <c r="U35" s="196" t="s">
        <v>343</v>
      </c>
      <c r="V35" s="180">
        <f>94000*1*1</f>
        <v>94000</v>
      </c>
    </row>
    <row r="36" spans="1:23" ht="23.25" customHeight="1">
      <c r="A36" s="441"/>
      <c r="B36" s="417"/>
      <c r="C36" s="650"/>
      <c r="D36" s="469"/>
      <c r="E36" s="470"/>
      <c r="F36" s="470"/>
      <c r="G36" s="470"/>
      <c r="H36" s="470"/>
      <c r="I36" s="470"/>
      <c r="J36" s="470"/>
      <c r="K36" s="470"/>
      <c r="L36" s="470"/>
      <c r="M36" s="470"/>
      <c r="N36" s="470"/>
      <c r="O36" s="470"/>
      <c r="P36" s="470"/>
      <c r="Q36" s="470"/>
      <c r="R36" s="471"/>
      <c r="S36" s="85"/>
      <c r="T36" s="102" t="s">
        <v>285</v>
      </c>
      <c r="U36" s="196" t="s">
        <v>325</v>
      </c>
      <c r="V36" s="180">
        <f>92000*2</f>
        <v>184000</v>
      </c>
      <c r="W36" s="556"/>
    </row>
    <row r="37" spans="1:23" ht="23.25" customHeight="1">
      <c r="A37" s="441"/>
      <c r="B37" s="417"/>
      <c r="C37" s="479"/>
      <c r="D37" s="469"/>
      <c r="E37" s="470"/>
      <c r="F37" s="470"/>
      <c r="G37" s="470"/>
      <c r="H37" s="470"/>
      <c r="I37" s="470"/>
      <c r="J37" s="470"/>
      <c r="K37" s="470"/>
      <c r="L37" s="470"/>
      <c r="M37" s="470"/>
      <c r="N37" s="470"/>
      <c r="O37" s="470"/>
      <c r="P37" s="470"/>
      <c r="Q37" s="470"/>
      <c r="R37" s="471"/>
      <c r="S37" s="85"/>
      <c r="T37" s="102" t="s">
        <v>231</v>
      </c>
      <c r="U37" s="86" t="s">
        <v>287</v>
      </c>
      <c r="V37" s="180">
        <f>10000*4*25*1</f>
        <v>1000000</v>
      </c>
    </row>
    <row r="38" spans="1:23" ht="23.25" customHeight="1">
      <c r="A38" s="441"/>
      <c r="B38" s="417"/>
      <c r="C38" s="649" t="s">
        <v>64</v>
      </c>
      <c r="D38" s="478">
        <v>23880000</v>
      </c>
      <c r="E38" s="465">
        <v>25005000</v>
      </c>
      <c r="F38" s="465">
        <v>25005000</v>
      </c>
      <c r="G38" s="465">
        <v>23880000</v>
      </c>
      <c r="H38" s="465">
        <v>26154000</v>
      </c>
      <c r="I38" s="465">
        <v>27240000</v>
      </c>
      <c r="J38" s="465">
        <v>29212000</v>
      </c>
      <c r="K38" s="465">
        <v>29291000</v>
      </c>
      <c r="L38" s="465">
        <v>31440000</v>
      </c>
      <c r="M38" s="465">
        <v>35055000</v>
      </c>
      <c r="N38" s="465">
        <v>34257000</v>
      </c>
      <c r="O38" s="465">
        <v>34257000</v>
      </c>
      <c r="P38" s="465">
        <v>34257000</v>
      </c>
      <c r="Q38" s="465">
        <f>SUM(V38:V42)</f>
        <v>34638000</v>
      </c>
      <c r="R38" s="466">
        <f>Q38-P38</f>
        <v>381000</v>
      </c>
      <c r="S38" s="83" t="s">
        <v>197</v>
      </c>
      <c r="T38" s="101"/>
      <c r="U38" s="84" t="s">
        <v>345</v>
      </c>
      <c r="V38" s="179">
        <f>963000*12</f>
        <v>11556000</v>
      </c>
    </row>
    <row r="39" spans="1:23" ht="23.25" customHeight="1">
      <c r="A39" s="441"/>
      <c r="B39" s="417"/>
      <c r="C39" s="650"/>
      <c r="D39" s="469"/>
      <c r="E39" s="470"/>
      <c r="F39" s="470"/>
      <c r="G39" s="470"/>
      <c r="H39" s="470"/>
      <c r="I39" s="470"/>
      <c r="J39" s="470"/>
      <c r="K39" s="470"/>
      <c r="L39" s="470"/>
      <c r="M39" s="470"/>
      <c r="N39" s="470"/>
      <c r="O39" s="470"/>
      <c r="P39" s="470"/>
      <c r="Q39" s="470"/>
      <c r="R39" s="471"/>
      <c r="S39" s="85" t="s">
        <v>198</v>
      </c>
      <c r="T39" s="102"/>
      <c r="U39" s="86" t="s">
        <v>346</v>
      </c>
      <c r="V39" s="180">
        <f>99000*12</f>
        <v>1188000</v>
      </c>
    </row>
    <row r="40" spans="1:23" ht="23.25" customHeight="1">
      <c r="A40" s="441"/>
      <c r="B40" s="417"/>
      <c r="C40" s="417"/>
      <c r="D40" s="469"/>
      <c r="E40" s="470"/>
      <c r="F40" s="470"/>
      <c r="G40" s="470"/>
      <c r="H40" s="470"/>
      <c r="I40" s="470"/>
      <c r="J40" s="470"/>
      <c r="K40" s="470"/>
      <c r="L40" s="470"/>
      <c r="M40" s="470"/>
      <c r="N40" s="470"/>
      <c r="O40" s="470"/>
      <c r="P40" s="470"/>
      <c r="Q40" s="470"/>
      <c r="R40" s="471"/>
      <c r="S40" s="85" t="s">
        <v>199</v>
      </c>
      <c r="T40" s="102"/>
      <c r="U40" s="86" t="s">
        <v>344</v>
      </c>
      <c r="V40" s="180">
        <f>1295500*12</f>
        <v>15546000</v>
      </c>
    </row>
    <row r="41" spans="1:23" ht="23.25" customHeight="1">
      <c r="A41" s="441"/>
      <c r="B41" s="417"/>
      <c r="C41" s="417"/>
      <c r="D41" s="469"/>
      <c r="E41" s="470"/>
      <c r="F41" s="470"/>
      <c r="G41" s="470"/>
      <c r="H41" s="470"/>
      <c r="I41" s="470"/>
      <c r="J41" s="470"/>
      <c r="K41" s="470"/>
      <c r="L41" s="470"/>
      <c r="M41" s="470"/>
      <c r="N41" s="470"/>
      <c r="O41" s="470"/>
      <c r="P41" s="470"/>
      <c r="Q41" s="470"/>
      <c r="R41" s="471"/>
      <c r="S41" s="85" t="s">
        <v>200</v>
      </c>
      <c r="T41" s="102"/>
      <c r="U41" s="86" t="s">
        <v>347</v>
      </c>
      <c r="V41" s="180">
        <f>342000*12</f>
        <v>4104000</v>
      </c>
    </row>
    <row r="42" spans="1:23" ht="23.25" customHeight="1">
      <c r="A42" s="441"/>
      <c r="B42" s="417"/>
      <c r="C42" s="423"/>
      <c r="D42" s="475"/>
      <c r="E42" s="476"/>
      <c r="F42" s="476"/>
      <c r="G42" s="476"/>
      <c r="H42" s="476"/>
      <c r="I42" s="476"/>
      <c r="J42" s="476"/>
      <c r="K42" s="476"/>
      <c r="L42" s="476"/>
      <c r="M42" s="476"/>
      <c r="N42" s="476"/>
      <c r="O42" s="476"/>
      <c r="P42" s="476"/>
      <c r="Q42" s="476"/>
      <c r="R42" s="477"/>
      <c r="S42" s="89" t="s">
        <v>201</v>
      </c>
      <c r="T42" s="103"/>
      <c r="U42" s="90" t="s">
        <v>348</v>
      </c>
      <c r="V42" s="181">
        <f>187000*12</f>
        <v>2244000</v>
      </c>
    </row>
    <row r="43" spans="1:23" ht="23.25" customHeight="1">
      <c r="A43" s="441"/>
      <c r="B43" s="480" t="s">
        <v>38</v>
      </c>
      <c r="C43" s="481"/>
      <c r="D43" s="482">
        <f>SUM(D45)</f>
        <v>11750000</v>
      </c>
      <c r="E43" s="483">
        <f>SUM(E45)</f>
        <v>12600000</v>
      </c>
      <c r="F43" s="483">
        <f>SUM(F45)</f>
        <v>12600000</v>
      </c>
      <c r="G43" s="483">
        <f>SUM(G44:G47)</f>
        <v>11750000</v>
      </c>
      <c r="H43" s="483">
        <f>SUM(H44:H47)</f>
        <v>12900000</v>
      </c>
      <c r="I43" s="483">
        <f>SUM(I44:I46)</f>
        <v>9240000</v>
      </c>
      <c r="J43" s="483">
        <f t="shared" ref="J43:Q43" si="3">SUM(J44:J53)</f>
        <v>10600000</v>
      </c>
      <c r="K43" s="483">
        <f t="shared" si="3"/>
        <v>10600000</v>
      </c>
      <c r="L43" s="483">
        <f t="shared" si="3"/>
        <v>10600000</v>
      </c>
      <c r="M43" s="483">
        <f t="shared" si="3"/>
        <v>10640000</v>
      </c>
      <c r="N43" s="483">
        <f t="shared" si="3"/>
        <v>10640000</v>
      </c>
      <c r="O43" s="483">
        <f t="shared" si="3"/>
        <v>10640000</v>
      </c>
      <c r="P43" s="483">
        <f t="shared" ref="P43" si="4">SUM(P44:P53)</f>
        <v>10640000</v>
      </c>
      <c r="Q43" s="483">
        <f t="shared" si="3"/>
        <v>10640000</v>
      </c>
      <c r="R43" s="484">
        <f>Q43-P43</f>
        <v>0</v>
      </c>
      <c r="S43" s="81"/>
      <c r="T43" s="532"/>
      <c r="U43" s="418"/>
      <c r="V43" s="178"/>
    </row>
    <row r="44" spans="1:23" ht="23.25" customHeight="1">
      <c r="A44" s="441"/>
      <c r="B44" s="428"/>
      <c r="C44" s="439" t="s">
        <v>203</v>
      </c>
      <c r="D44" s="482"/>
      <c r="E44" s="483"/>
      <c r="F44" s="483"/>
      <c r="G44" s="483">
        <v>0</v>
      </c>
      <c r="H44" s="483">
        <v>300000</v>
      </c>
      <c r="I44" s="483">
        <v>1440000</v>
      </c>
      <c r="J44" s="483">
        <v>1200000</v>
      </c>
      <c r="K44" s="483">
        <v>1200000</v>
      </c>
      <c r="L44" s="483">
        <v>1200000</v>
      </c>
      <c r="M44" s="483">
        <v>1200000</v>
      </c>
      <c r="N44" s="483">
        <v>1200000</v>
      </c>
      <c r="O44" s="483">
        <v>1200000</v>
      </c>
      <c r="P44" s="483">
        <v>1200000</v>
      </c>
      <c r="Q44" s="483">
        <f>SUM(V44)</f>
        <v>1200000</v>
      </c>
      <c r="R44" s="484">
        <f>Q44-P44</f>
        <v>0</v>
      </c>
      <c r="S44" s="81"/>
      <c r="T44" s="100"/>
      <c r="U44" s="82" t="s">
        <v>210</v>
      </c>
      <c r="V44" s="178">
        <f>100000*12</f>
        <v>1200000</v>
      </c>
    </row>
    <row r="45" spans="1:23" ht="23.25" customHeight="1">
      <c r="A45" s="441"/>
      <c r="B45" s="417"/>
      <c r="C45" s="417" t="s">
        <v>31</v>
      </c>
      <c r="D45" s="469">
        <v>11750000</v>
      </c>
      <c r="E45" s="470">
        <v>12600000</v>
      </c>
      <c r="F45" s="470">
        <v>12600000</v>
      </c>
      <c r="G45" s="470">
        <v>11750000</v>
      </c>
      <c r="H45" s="470">
        <v>12600000</v>
      </c>
      <c r="I45" s="470">
        <v>7800000</v>
      </c>
      <c r="J45" s="470">
        <v>7800000</v>
      </c>
      <c r="K45" s="470">
        <v>7800000</v>
      </c>
      <c r="L45" s="470">
        <v>7800000</v>
      </c>
      <c r="M45" s="470">
        <v>7800000</v>
      </c>
      <c r="N45" s="470">
        <v>7800000</v>
      </c>
      <c r="O45" s="470">
        <v>7800000</v>
      </c>
      <c r="P45" s="470">
        <v>7800000</v>
      </c>
      <c r="Q45" s="470">
        <f>SUM(V45:V47)</f>
        <v>7800000</v>
      </c>
      <c r="R45" s="471">
        <f>Q45-P45</f>
        <v>0</v>
      </c>
      <c r="S45" s="85" t="s">
        <v>46</v>
      </c>
      <c r="T45" s="111"/>
      <c r="U45" s="86" t="s">
        <v>158</v>
      </c>
      <c r="V45" s="180">
        <f>200000*12</f>
        <v>2400000</v>
      </c>
    </row>
    <row r="46" spans="1:23" ht="23.25" customHeight="1">
      <c r="A46" s="441"/>
      <c r="B46" s="417"/>
      <c r="C46" s="417"/>
      <c r="D46" s="469"/>
      <c r="E46" s="470"/>
      <c r="F46" s="470"/>
      <c r="G46" s="470"/>
      <c r="H46" s="470"/>
      <c r="I46" s="470"/>
      <c r="J46" s="470"/>
      <c r="K46" s="470"/>
      <c r="L46" s="470"/>
      <c r="M46" s="470"/>
      <c r="N46" s="470"/>
      <c r="O46" s="470"/>
      <c r="P46" s="470"/>
      <c r="Q46" s="470"/>
      <c r="R46" s="471"/>
      <c r="S46" s="85" t="s">
        <v>215</v>
      </c>
      <c r="T46" s="111"/>
      <c r="U46" s="86" t="s">
        <v>209</v>
      </c>
      <c r="V46" s="180">
        <f>150000*12</f>
        <v>1800000</v>
      </c>
    </row>
    <row r="47" spans="1:23" ht="23.25" customHeight="1">
      <c r="A47" s="441"/>
      <c r="B47" s="417"/>
      <c r="C47" s="423"/>
      <c r="D47" s="475"/>
      <c r="E47" s="476"/>
      <c r="F47" s="476"/>
      <c r="G47" s="476"/>
      <c r="H47" s="476"/>
      <c r="I47" s="476"/>
      <c r="J47" s="476"/>
      <c r="K47" s="476"/>
      <c r="L47" s="476"/>
      <c r="M47" s="476"/>
      <c r="N47" s="476"/>
      <c r="O47" s="476"/>
      <c r="P47" s="476"/>
      <c r="Q47" s="476"/>
      <c r="R47" s="477"/>
      <c r="S47" s="89" t="s">
        <v>169</v>
      </c>
      <c r="T47" s="112"/>
      <c r="U47" s="90" t="s">
        <v>213</v>
      </c>
      <c r="V47" s="181">
        <f>(100000*3*12)</f>
        <v>3600000</v>
      </c>
    </row>
    <row r="48" spans="1:23" ht="23.25" customHeight="1">
      <c r="A48" s="441"/>
      <c r="B48" s="417"/>
      <c r="C48" s="442" t="s">
        <v>23</v>
      </c>
      <c r="D48" s="469"/>
      <c r="E48" s="470"/>
      <c r="F48" s="470"/>
      <c r="G48" s="470"/>
      <c r="H48" s="470"/>
      <c r="I48" s="470">
        <v>0</v>
      </c>
      <c r="J48" s="470">
        <v>1600000</v>
      </c>
      <c r="K48" s="470">
        <v>1600000</v>
      </c>
      <c r="L48" s="470">
        <v>1600000</v>
      </c>
      <c r="M48" s="470">
        <v>1640000</v>
      </c>
      <c r="N48" s="470">
        <v>1640000</v>
      </c>
      <c r="O48" s="470">
        <v>1640000</v>
      </c>
      <c r="P48" s="470">
        <v>1640000</v>
      </c>
      <c r="Q48" s="470">
        <f>SUM(V48:V53)</f>
        <v>1640000</v>
      </c>
      <c r="R48" s="471">
        <f>Q48-P48</f>
        <v>0</v>
      </c>
      <c r="S48" s="85" t="s">
        <v>246</v>
      </c>
      <c r="T48" s="111"/>
      <c r="U48" s="86" t="s">
        <v>148</v>
      </c>
      <c r="V48" s="180">
        <f>50000*4</f>
        <v>200000</v>
      </c>
    </row>
    <row r="49" spans="1:22" ht="23.25" customHeight="1">
      <c r="A49" s="441"/>
      <c r="B49" s="417"/>
      <c r="C49" s="417"/>
      <c r="D49" s="469"/>
      <c r="E49" s="470"/>
      <c r="F49" s="470"/>
      <c r="G49" s="470"/>
      <c r="H49" s="470"/>
      <c r="I49" s="470"/>
      <c r="J49" s="470"/>
      <c r="K49" s="470"/>
      <c r="L49" s="470"/>
      <c r="M49" s="470"/>
      <c r="N49" s="470"/>
      <c r="O49" s="470"/>
      <c r="P49" s="470"/>
      <c r="Q49" s="470"/>
      <c r="R49" s="471"/>
      <c r="S49" s="85" t="s">
        <v>263</v>
      </c>
      <c r="T49" s="111"/>
      <c r="U49" s="86" t="s">
        <v>253</v>
      </c>
      <c r="V49" s="180">
        <v>400000</v>
      </c>
    </row>
    <row r="50" spans="1:22" ht="23.25" customHeight="1">
      <c r="A50" s="441"/>
      <c r="B50" s="417"/>
      <c r="C50" s="417"/>
      <c r="D50" s="469"/>
      <c r="E50" s="470"/>
      <c r="F50" s="470"/>
      <c r="G50" s="470"/>
      <c r="H50" s="470"/>
      <c r="I50" s="470"/>
      <c r="J50" s="470"/>
      <c r="K50" s="470"/>
      <c r="L50" s="470"/>
      <c r="M50" s="470"/>
      <c r="N50" s="470"/>
      <c r="O50" s="470"/>
      <c r="P50" s="470"/>
      <c r="Q50" s="470"/>
      <c r="R50" s="471"/>
      <c r="S50" s="85" t="s">
        <v>147</v>
      </c>
      <c r="T50" s="107"/>
      <c r="U50" s="87" t="s">
        <v>148</v>
      </c>
      <c r="V50" s="180">
        <f>50000*4</f>
        <v>200000</v>
      </c>
    </row>
    <row r="51" spans="1:22" ht="23.25" customHeight="1">
      <c r="A51" s="441"/>
      <c r="B51" s="415"/>
      <c r="C51" s="417"/>
      <c r="D51" s="469"/>
      <c r="E51" s="470"/>
      <c r="F51" s="470"/>
      <c r="G51" s="470"/>
      <c r="H51" s="470"/>
      <c r="I51" s="470"/>
      <c r="J51" s="470"/>
      <c r="K51" s="470"/>
      <c r="L51" s="470"/>
      <c r="M51" s="470"/>
      <c r="N51" s="470"/>
      <c r="O51" s="470"/>
      <c r="P51" s="470"/>
      <c r="Q51" s="470"/>
      <c r="R51" s="471"/>
      <c r="S51" s="85" t="s">
        <v>262</v>
      </c>
      <c r="T51" s="107" t="s">
        <v>264</v>
      </c>
      <c r="U51" s="87" t="s">
        <v>148</v>
      </c>
      <c r="V51" s="180">
        <f>50000*4</f>
        <v>200000</v>
      </c>
    </row>
    <row r="52" spans="1:22" ht="23.25" customHeight="1">
      <c r="A52" s="441"/>
      <c r="B52" s="415"/>
      <c r="C52" s="417"/>
      <c r="D52" s="469"/>
      <c r="E52" s="470"/>
      <c r="F52" s="470"/>
      <c r="G52" s="470"/>
      <c r="H52" s="470"/>
      <c r="I52" s="470"/>
      <c r="J52" s="470"/>
      <c r="K52" s="470"/>
      <c r="L52" s="470"/>
      <c r="M52" s="470"/>
      <c r="N52" s="470"/>
      <c r="O52" s="470"/>
      <c r="P52" s="470"/>
      <c r="Q52" s="470"/>
      <c r="R52" s="471"/>
      <c r="S52" s="85"/>
      <c r="T52" s="107" t="s">
        <v>139</v>
      </c>
      <c r="U52" s="87" t="s">
        <v>265</v>
      </c>
      <c r="V52" s="180">
        <f>120000*4</f>
        <v>480000</v>
      </c>
    </row>
    <row r="53" spans="1:22" ht="23.25" customHeight="1">
      <c r="A53" s="441"/>
      <c r="B53" s="416"/>
      <c r="C53" s="423"/>
      <c r="D53" s="475"/>
      <c r="E53" s="476"/>
      <c r="F53" s="476"/>
      <c r="G53" s="476"/>
      <c r="H53" s="476"/>
      <c r="I53" s="476"/>
      <c r="J53" s="476"/>
      <c r="K53" s="476"/>
      <c r="L53" s="476"/>
      <c r="M53" s="476"/>
      <c r="N53" s="476"/>
      <c r="O53" s="476"/>
      <c r="P53" s="476"/>
      <c r="Q53" s="476"/>
      <c r="R53" s="477"/>
      <c r="S53" s="89" t="s">
        <v>257</v>
      </c>
      <c r="T53" s="298"/>
      <c r="U53" s="193" t="s">
        <v>148</v>
      </c>
      <c r="V53" s="181">
        <f>40000*4</f>
        <v>160000</v>
      </c>
    </row>
    <row r="54" spans="1:22" ht="23.25" customHeight="1">
      <c r="A54" s="441"/>
      <c r="B54" s="628" t="s">
        <v>8</v>
      </c>
      <c r="C54" s="648"/>
      <c r="D54" s="155">
        <f>SUM(D55:D104)</f>
        <v>104555000</v>
      </c>
      <c r="E54" s="148">
        <f>SUM(E55:E104)</f>
        <v>99029000</v>
      </c>
      <c r="F54" s="148">
        <f>SUM(F55:F104)</f>
        <v>99161000</v>
      </c>
      <c r="G54" s="148">
        <f t="shared" ref="G54:Q54" si="5">SUM(G55:G106)</f>
        <v>104555000</v>
      </c>
      <c r="H54" s="148">
        <f t="shared" si="5"/>
        <v>96576000</v>
      </c>
      <c r="I54" s="148">
        <f t="shared" si="5"/>
        <v>109153000</v>
      </c>
      <c r="J54" s="148">
        <f t="shared" si="5"/>
        <v>106061000</v>
      </c>
      <c r="K54" s="148">
        <f t="shared" si="5"/>
        <v>117559000</v>
      </c>
      <c r="L54" s="148">
        <f t="shared" si="5"/>
        <v>120269000</v>
      </c>
      <c r="M54" s="148">
        <f t="shared" si="5"/>
        <v>119144000</v>
      </c>
      <c r="N54" s="148">
        <f t="shared" si="5"/>
        <v>121886000</v>
      </c>
      <c r="O54" s="148">
        <f t="shared" si="5"/>
        <v>108616000</v>
      </c>
      <c r="P54" s="148">
        <f t="shared" ref="P54" si="6">SUM(P55:P106)</f>
        <v>101646000</v>
      </c>
      <c r="Q54" s="148">
        <f t="shared" si="5"/>
        <v>131460000</v>
      </c>
      <c r="R54" s="80">
        <f>Q54-P54</f>
        <v>29814000</v>
      </c>
      <c r="S54" s="81"/>
      <c r="T54" s="532"/>
      <c r="U54" s="418"/>
      <c r="V54" s="178"/>
    </row>
    <row r="55" spans="1:22" ht="23.25" customHeight="1">
      <c r="A55" s="441"/>
      <c r="B55" s="442"/>
      <c r="C55" s="485" t="s">
        <v>20</v>
      </c>
      <c r="D55" s="478">
        <v>600000</v>
      </c>
      <c r="E55" s="465">
        <v>600000</v>
      </c>
      <c r="F55" s="465">
        <v>600000</v>
      </c>
      <c r="G55" s="465">
        <v>600000</v>
      </c>
      <c r="H55" s="465">
        <v>600000</v>
      </c>
      <c r="I55" s="465">
        <v>1800000</v>
      </c>
      <c r="J55" s="465">
        <v>1800000</v>
      </c>
      <c r="K55" s="465">
        <v>2400000</v>
      </c>
      <c r="L55" s="465">
        <v>2400000</v>
      </c>
      <c r="M55" s="465">
        <v>2400000</v>
      </c>
      <c r="N55" s="465">
        <v>2400000</v>
      </c>
      <c r="O55" s="465">
        <v>1200000</v>
      </c>
      <c r="P55" s="465">
        <v>1200000</v>
      </c>
      <c r="Q55" s="465">
        <f>SUM(V55)</f>
        <v>2400000</v>
      </c>
      <c r="R55" s="80">
        <f>Q55-P55</f>
        <v>1200000</v>
      </c>
      <c r="S55" s="651" t="s">
        <v>235</v>
      </c>
      <c r="T55" s="652"/>
      <c r="U55" s="82" t="s">
        <v>123</v>
      </c>
      <c r="V55" s="178">
        <f>200000*12</f>
        <v>2400000</v>
      </c>
    </row>
    <row r="56" spans="1:22" ht="23.25" customHeight="1">
      <c r="A56" s="441"/>
      <c r="B56" s="417"/>
      <c r="C56" s="649" t="s">
        <v>65</v>
      </c>
      <c r="D56" s="478">
        <v>18372000</v>
      </c>
      <c r="E56" s="465">
        <v>16236000</v>
      </c>
      <c r="F56" s="465">
        <v>16368000</v>
      </c>
      <c r="G56" s="465">
        <v>18372000</v>
      </c>
      <c r="H56" s="465">
        <v>18568000</v>
      </c>
      <c r="I56" s="465">
        <v>23440000</v>
      </c>
      <c r="J56" s="465">
        <v>18868000</v>
      </c>
      <c r="K56" s="465">
        <v>23366000</v>
      </c>
      <c r="L56" s="465">
        <v>24446000</v>
      </c>
      <c r="M56" s="465">
        <v>25746000</v>
      </c>
      <c r="N56" s="465">
        <v>28478000</v>
      </c>
      <c r="O56" s="465">
        <v>28478000</v>
      </c>
      <c r="P56" s="465">
        <v>29178000</v>
      </c>
      <c r="Q56" s="465">
        <f>SUM(V56:V70)</f>
        <v>33482000</v>
      </c>
      <c r="R56" s="466">
        <f>Q56-P56</f>
        <v>4304000</v>
      </c>
      <c r="S56" s="292" t="s">
        <v>170</v>
      </c>
      <c r="T56" s="101"/>
      <c r="U56" s="84" t="s">
        <v>277</v>
      </c>
      <c r="V56" s="179">
        <f>300000*12</f>
        <v>3600000</v>
      </c>
    </row>
    <row r="57" spans="1:22" ht="23.25" customHeight="1">
      <c r="A57" s="441"/>
      <c r="B57" s="417"/>
      <c r="C57" s="650"/>
      <c r="D57" s="469"/>
      <c r="E57" s="470"/>
      <c r="F57" s="470"/>
      <c r="G57" s="470"/>
      <c r="H57" s="470"/>
      <c r="I57" s="470"/>
      <c r="J57" s="470"/>
      <c r="K57" s="470"/>
      <c r="L57" s="470"/>
      <c r="M57" s="470"/>
      <c r="N57" s="470"/>
      <c r="O57" s="470"/>
      <c r="P57" s="470"/>
      <c r="Q57" s="470"/>
      <c r="R57" s="471"/>
      <c r="S57" s="211" t="s">
        <v>171</v>
      </c>
      <c r="T57" s="102"/>
      <c r="U57" s="86" t="s">
        <v>186</v>
      </c>
      <c r="V57" s="180">
        <f>132000*12</f>
        <v>1584000</v>
      </c>
    </row>
    <row r="58" spans="1:22" ht="23.25" customHeight="1">
      <c r="A58" s="441"/>
      <c r="B58" s="417"/>
      <c r="C58" s="650"/>
      <c r="D58" s="469"/>
      <c r="E58" s="470"/>
      <c r="F58" s="470"/>
      <c r="G58" s="470"/>
      <c r="H58" s="470"/>
      <c r="I58" s="470"/>
      <c r="J58" s="470"/>
      <c r="K58" s="470"/>
      <c r="L58" s="470"/>
      <c r="M58" s="470"/>
      <c r="N58" s="470"/>
      <c r="O58" s="470"/>
      <c r="P58" s="470"/>
      <c r="Q58" s="470"/>
      <c r="R58" s="471"/>
      <c r="S58" s="85" t="s">
        <v>66</v>
      </c>
      <c r="T58" s="102"/>
      <c r="U58" s="86" t="s">
        <v>67</v>
      </c>
      <c r="V58" s="180">
        <f>15000*12*4</f>
        <v>720000</v>
      </c>
    </row>
    <row r="59" spans="1:22" ht="23.25" customHeight="1">
      <c r="A59" s="441"/>
      <c r="B59" s="417"/>
      <c r="C59" s="479"/>
      <c r="D59" s="469"/>
      <c r="E59" s="470"/>
      <c r="F59" s="470"/>
      <c r="G59" s="470"/>
      <c r="H59" s="470"/>
      <c r="I59" s="470"/>
      <c r="J59" s="470"/>
      <c r="K59" s="470"/>
      <c r="L59" s="470"/>
      <c r="M59" s="470"/>
      <c r="N59" s="470"/>
      <c r="O59" s="470"/>
      <c r="P59" s="470"/>
      <c r="Q59" s="470"/>
      <c r="R59" s="471"/>
      <c r="S59" s="85" t="s">
        <v>172</v>
      </c>
      <c r="T59" s="102"/>
      <c r="U59" s="86" t="s">
        <v>326</v>
      </c>
      <c r="V59" s="180">
        <f>300000*12</f>
        <v>3600000</v>
      </c>
    </row>
    <row r="60" spans="1:22" ht="23.25" customHeight="1">
      <c r="A60" s="441"/>
      <c r="B60" s="417"/>
      <c r="C60" s="479"/>
      <c r="D60" s="469"/>
      <c r="E60" s="470"/>
      <c r="F60" s="470"/>
      <c r="G60" s="470"/>
      <c r="H60" s="470"/>
      <c r="I60" s="470"/>
      <c r="J60" s="470"/>
      <c r="K60" s="470"/>
      <c r="L60" s="470"/>
      <c r="M60" s="470"/>
      <c r="N60" s="470"/>
      <c r="O60" s="470"/>
      <c r="P60" s="470"/>
      <c r="Q60" s="470"/>
      <c r="R60" s="471"/>
      <c r="S60" s="85" t="s">
        <v>280</v>
      </c>
      <c r="T60" s="102"/>
      <c r="U60" s="86" t="s">
        <v>292</v>
      </c>
      <c r="V60" s="180">
        <f>40000*3*12</f>
        <v>1440000</v>
      </c>
    </row>
    <row r="61" spans="1:22" ht="23.25" customHeight="1">
      <c r="A61" s="441"/>
      <c r="B61" s="417"/>
      <c r="C61" s="479"/>
      <c r="D61" s="469"/>
      <c r="E61" s="470"/>
      <c r="F61" s="470"/>
      <c r="G61" s="470"/>
      <c r="H61" s="470"/>
      <c r="I61" s="470"/>
      <c r="J61" s="470"/>
      <c r="K61" s="470"/>
      <c r="L61" s="470"/>
      <c r="M61" s="470"/>
      <c r="N61" s="470"/>
      <c r="O61" s="470"/>
      <c r="P61" s="470"/>
      <c r="Q61" s="470"/>
      <c r="R61" s="471"/>
      <c r="S61" s="85" t="s">
        <v>301</v>
      </c>
      <c r="T61" s="102" t="s">
        <v>108</v>
      </c>
      <c r="U61" s="86" t="s">
        <v>302</v>
      </c>
      <c r="V61" s="180">
        <f>83000*4</f>
        <v>332000</v>
      </c>
    </row>
    <row r="62" spans="1:22" ht="23.25" customHeight="1">
      <c r="A62" s="441"/>
      <c r="B62" s="417"/>
      <c r="C62" s="479"/>
      <c r="D62" s="469"/>
      <c r="E62" s="470"/>
      <c r="F62" s="470"/>
      <c r="G62" s="470"/>
      <c r="H62" s="470"/>
      <c r="I62" s="470"/>
      <c r="J62" s="470"/>
      <c r="K62" s="470"/>
      <c r="L62" s="470"/>
      <c r="M62" s="470"/>
      <c r="N62" s="470"/>
      <c r="O62" s="470"/>
      <c r="P62" s="470"/>
      <c r="Q62" s="470"/>
      <c r="R62" s="471"/>
      <c r="S62" s="85" t="s">
        <v>237</v>
      </c>
      <c r="T62" s="102"/>
      <c r="U62" s="86" t="s">
        <v>295</v>
      </c>
      <c r="V62" s="180">
        <f>800000*1</f>
        <v>800000</v>
      </c>
    </row>
    <row r="63" spans="1:22" ht="23.25" customHeight="1">
      <c r="A63" s="441"/>
      <c r="B63" s="417"/>
      <c r="C63" s="479"/>
      <c r="D63" s="469"/>
      <c r="E63" s="470"/>
      <c r="F63" s="470"/>
      <c r="G63" s="470"/>
      <c r="H63" s="470"/>
      <c r="I63" s="470"/>
      <c r="J63" s="470"/>
      <c r="K63" s="470"/>
      <c r="L63" s="470"/>
      <c r="M63" s="470"/>
      <c r="N63" s="470"/>
      <c r="O63" s="470"/>
      <c r="P63" s="470"/>
      <c r="Q63" s="470"/>
      <c r="R63" s="471"/>
      <c r="S63" s="85" t="s">
        <v>381</v>
      </c>
      <c r="T63" s="102"/>
      <c r="U63" s="86" t="s">
        <v>326</v>
      </c>
      <c r="V63" s="180">
        <f>300000*12</f>
        <v>3600000</v>
      </c>
    </row>
    <row r="64" spans="1:22" ht="23.25" customHeight="1">
      <c r="A64" s="441"/>
      <c r="B64" s="417"/>
      <c r="C64" s="479"/>
      <c r="D64" s="469"/>
      <c r="E64" s="470"/>
      <c r="F64" s="470"/>
      <c r="G64" s="470"/>
      <c r="H64" s="470"/>
      <c r="I64" s="470"/>
      <c r="J64" s="470"/>
      <c r="K64" s="470"/>
      <c r="L64" s="470"/>
      <c r="M64" s="470"/>
      <c r="N64" s="470"/>
      <c r="O64" s="470"/>
      <c r="P64" s="470"/>
      <c r="Q64" s="470"/>
      <c r="R64" s="471"/>
      <c r="S64" s="85" t="s">
        <v>273</v>
      </c>
      <c r="T64" s="102"/>
      <c r="U64" s="86" t="s">
        <v>274</v>
      </c>
      <c r="V64" s="180">
        <f>754000*1</f>
        <v>754000</v>
      </c>
    </row>
    <row r="65" spans="1:22" ht="23.25" customHeight="1">
      <c r="A65" s="441"/>
      <c r="B65" s="417"/>
      <c r="C65" s="417"/>
      <c r="D65" s="469"/>
      <c r="E65" s="470"/>
      <c r="F65" s="470"/>
      <c r="G65" s="470"/>
      <c r="H65" s="470"/>
      <c r="I65" s="470"/>
      <c r="J65" s="470"/>
      <c r="K65" s="470"/>
      <c r="L65" s="470"/>
      <c r="M65" s="470"/>
      <c r="N65" s="470"/>
      <c r="O65" s="470"/>
      <c r="P65" s="470"/>
      <c r="Q65" s="470"/>
      <c r="R65" s="471"/>
      <c r="S65" s="89" t="s">
        <v>168</v>
      </c>
      <c r="T65" s="103"/>
      <c r="U65" s="90" t="s">
        <v>303</v>
      </c>
      <c r="V65" s="181">
        <f>800000*12</f>
        <v>9600000</v>
      </c>
    </row>
    <row r="66" spans="1:22" ht="23.25" customHeight="1">
      <c r="A66" s="441"/>
      <c r="B66" s="417"/>
      <c r="C66" s="417"/>
      <c r="D66" s="469"/>
      <c r="E66" s="470"/>
      <c r="F66" s="470"/>
      <c r="G66" s="470"/>
      <c r="H66" s="470"/>
      <c r="I66" s="470"/>
      <c r="J66" s="470"/>
      <c r="K66" s="470"/>
      <c r="L66" s="470"/>
      <c r="M66" s="470"/>
      <c r="N66" s="470"/>
      <c r="O66" s="470"/>
      <c r="P66" s="470"/>
      <c r="Q66" s="470"/>
      <c r="R66" s="471"/>
      <c r="S66" s="211" t="s">
        <v>88</v>
      </c>
      <c r="T66" s="104"/>
      <c r="U66" s="87" t="s">
        <v>349</v>
      </c>
      <c r="V66" s="180">
        <f>149000*12</f>
        <v>1788000</v>
      </c>
    </row>
    <row r="67" spans="1:22" ht="23.25" customHeight="1">
      <c r="A67" s="441"/>
      <c r="B67" s="417"/>
      <c r="C67" s="417"/>
      <c r="D67" s="469"/>
      <c r="E67" s="470"/>
      <c r="F67" s="470"/>
      <c r="G67" s="470"/>
      <c r="H67" s="470"/>
      <c r="I67" s="470"/>
      <c r="J67" s="470"/>
      <c r="K67" s="470"/>
      <c r="L67" s="470"/>
      <c r="M67" s="470"/>
      <c r="N67" s="470"/>
      <c r="O67" s="470"/>
      <c r="P67" s="470"/>
      <c r="Q67" s="470"/>
      <c r="R67" s="471"/>
      <c r="S67" s="653" t="s">
        <v>89</v>
      </c>
      <c r="T67" s="654"/>
      <c r="U67" s="87" t="s">
        <v>124</v>
      </c>
      <c r="V67" s="180">
        <f>220000*12</f>
        <v>2640000</v>
      </c>
    </row>
    <row r="68" spans="1:22" ht="23.25" customHeight="1">
      <c r="A68" s="441"/>
      <c r="B68" s="417"/>
      <c r="C68" s="417"/>
      <c r="D68" s="469"/>
      <c r="E68" s="470"/>
      <c r="F68" s="470"/>
      <c r="G68" s="470"/>
      <c r="H68" s="470"/>
      <c r="I68" s="470"/>
      <c r="J68" s="470"/>
      <c r="K68" s="470"/>
      <c r="L68" s="470"/>
      <c r="M68" s="470"/>
      <c r="N68" s="470"/>
      <c r="O68" s="470"/>
      <c r="P68" s="470"/>
      <c r="Q68" s="470"/>
      <c r="R68" s="471"/>
      <c r="S68" s="638" t="s">
        <v>90</v>
      </c>
      <c r="T68" s="639"/>
      <c r="U68" s="88" t="s">
        <v>91</v>
      </c>
      <c r="V68" s="181">
        <f>88000*12</f>
        <v>1056000</v>
      </c>
    </row>
    <row r="69" spans="1:22" ht="23.25" customHeight="1">
      <c r="A69" s="441"/>
      <c r="B69" s="417"/>
      <c r="C69" s="417"/>
      <c r="D69" s="469"/>
      <c r="E69" s="470"/>
      <c r="F69" s="470"/>
      <c r="G69" s="470"/>
      <c r="H69" s="470"/>
      <c r="I69" s="470"/>
      <c r="J69" s="470"/>
      <c r="K69" s="470"/>
      <c r="L69" s="470"/>
      <c r="M69" s="470"/>
      <c r="N69" s="470"/>
      <c r="O69" s="470"/>
      <c r="P69" s="470"/>
      <c r="Q69" s="470"/>
      <c r="R69" s="471"/>
      <c r="S69" s="191" t="s">
        <v>135</v>
      </c>
      <c r="T69" s="102"/>
      <c r="U69" s="86" t="s">
        <v>125</v>
      </c>
      <c r="V69" s="180">
        <f>44000*12</f>
        <v>528000</v>
      </c>
    </row>
    <row r="70" spans="1:22" ht="23.25" customHeight="1">
      <c r="A70" s="441"/>
      <c r="B70" s="417"/>
      <c r="C70" s="417"/>
      <c r="D70" s="469"/>
      <c r="E70" s="470"/>
      <c r="F70" s="470"/>
      <c r="G70" s="470"/>
      <c r="H70" s="470"/>
      <c r="I70" s="470"/>
      <c r="J70" s="470"/>
      <c r="K70" s="470"/>
      <c r="L70" s="470"/>
      <c r="M70" s="470"/>
      <c r="N70" s="470"/>
      <c r="O70" s="470"/>
      <c r="P70" s="470"/>
      <c r="Q70" s="470"/>
      <c r="R70" s="471"/>
      <c r="S70" s="191" t="s">
        <v>136</v>
      </c>
      <c r="T70" s="102"/>
      <c r="U70" s="86" t="s">
        <v>291</v>
      </c>
      <c r="V70" s="180">
        <f>120000*12</f>
        <v>1440000</v>
      </c>
    </row>
    <row r="71" spans="1:22" ht="23.25" customHeight="1">
      <c r="A71" s="441"/>
      <c r="B71" s="417"/>
      <c r="C71" s="442" t="s">
        <v>14</v>
      </c>
      <c r="D71" s="478">
        <v>48535000</v>
      </c>
      <c r="E71" s="465">
        <v>48535000</v>
      </c>
      <c r="F71" s="465">
        <v>48535000</v>
      </c>
      <c r="G71" s="465">
        <v>48535000</v>
      </c>
      <c r="H71" s="465">
        <v>46135000</v>
      </c>
      <c r="I71" s="465">
        <v>47550000</v>
      </c>
      <c r="J71" s="465">
        <v>47550000</v>
      </c>
      <c r="K71" s="465">
        <v>49350000</v>
      </c>
      <c r="L71" s="465">
        <v>49350000</v>
      </c>
      <c r="M71" s="465">
        <v>49585000</v>
      </c>
      <c r="N71" s="465">
        <v>49585000</v>
      </c>
      <c r="O71" s="465">
        <v>47135000</v>
      </c>
      <c r="P71" s="465">
        <v>38735000</v>
      </c>
      <c r="Q71" s="465">
        <f>SUM(V71:V77)</f>
        <v>52785000</v>
      </c>
      <c r="R71" s="466">
        <f>Q71-P71</f>
        <v>14050000</v>
      </c>
      <c r="S71" s="83" t="s">
        <v>68</v>
      </c>
      <c r="T71" s="101"/>
      <c r="U71" s="84" t="s">
        <v>277</v>
      </c>
      <c r="V71" s="179">
        <f>300000*12</f>
        <v>3600000</v>
      </c>
    </row>
    <row r="72" spans="1:22" ht="23.25" customHeight="1">
      <c r="A72" s="441"/>
      <c r="B72" s="417"/>
      <c r="C72" s="417"/>
      <c r="D72" s="469"/>
      <c r="E72" s="470"/>
      <c r="F72" s="470"/>
      <c r="G72" s="470"/>
      <c r="H72" s="470"/>
      <c r="I72" s="470"/>
      <c r="J72" s="470"/>
      <c r="K72" s="470"/>
      <c r="L72" s="470"/>
      <c r="M72" s="470"/>
      <c r="N72" s="470"/>
      <c r="O72" s="470"/>
      <c r="P72" s="470"/>
      <c r="Q72" s="470"/>
      <c r="R72" s="471"/>
      <c r="S72" s="85" t="s">
        <v>69</v>
      </c>
      <c r="T72" s="102"/>
      <c r="U72" s="86" t="s">
        <v>355</v>
      </c>
      <c r="V72" s="180">
        <f>3000000*12</f>
        <v>36000000</v>
      </c>
    </row>
    <row r="73" spans="1:22" ht="23.25" customHeight="1">
      <c r="A73" s="441"/>
      <c r="B73" s="417"/>
      <c r="C73" s="417"/>
      <c r="D73" s="469"/>
      <c r="E73" s="470"/>
      <c r="F73" s="470"/>
      <c r="G73" s="470"/>
      <c r="H73" s="470"/>
      <c r="I73" s="470"/>
      <c r="J73" s="470"/>
      <c r="K73" s="470"/>
      <c r="L73" s="470"/>
      <c r="M73" s="470"/>
      <c r="N73" s="470"/>
      <c r="O73" s="470"/>
      <c r="P73" s="470"/>
      <c r="Q73" s="470"/>
      <c r="R73" s="471"/>
      <c r="S73" s="85" t="s">
        <v>70</v>
      </c>
      <c r="T73" s="102"/>
      <c r="U73" s="86" t="s">
        <v>127</v>
      </c>
      <c r="V73" s="180">
        <f>ROUNDUP(7700*2*12,-3)</f>
        <v>185000</v>
      </c>
    </row>
    <row r="74" spans="1:22" ht="23.25" customHeight="1">
      <c r="A74" s="441"/>
      <c r="B74" s="417"/>
      <c r="C74" s="417"/>
      <c r="D74" s="469"/>
      <c r="E74" s="470"/>
      <c r="F74" s="470"/>
      <c r="G74" s="470"/>
      <c r="H74" s="470"/>
      <c r="I74" s="470"/>
      <c r="J74" s="470"/>
      <c r="K74" s="470"/>
      <c r="L74" s="470"/>
      <c r="M74" s="470"/>
      <c r="N74" s="470"/>
      <c r="O74" s="470"/>
      <c r="P74" s="470"/>
      <c r="Q74" s="470"/>
      <c r="R74" s="471"/>
      <c r="S74" s="85" t="s">
        <v>71</v>
      </c>
      <c r="T74" s="102"/>
      <c r="U74" s="86" t="s">
        <v>309</v>
      </c>
      <c r="V74" s="180">
        <f>400000*12</f>
        <v>4800000</v>
      </c>
    </row>
    <row r="75" spans="1:22" ht="23.25" customHeight="1">
      <c r="A75" s="441"/>
      <c r="B75" s="417"/>
      <c r="C75" s="417"/>
      <c r="D75" s="469"/>
      <c r="E75" s="470"/>
      <c r="F75" s="470"/>
      <c r="G75" s="470"/>
      <c r="H75" s="470"/>
      <c r="I75" s="470"/>
      <c r="J75" s="470"/>
      <c r="K75" s="470"/>
      <c r="L75" s="470"/>
      <c r="M75" s="470"/>
      <c r="N75" s="470"/>
      <c r="O75" s="470"/>
      <c r="P75" s="470"/>
      <c r="Q75" s="470"/>
      <c r="R75" s="471"/>
      <c r="S75" s="89" t="s">
        <v>71</v>
      </c>
      <c r="T75" s="103"/>
      <c r="U75" s="90" t="s">
        <v>328</v>
      </c>
      <c r="V75" s="181">
        <f>(700000*8)+(200000*4)</f>
        <v>6400000</v>
      </c>
    </row>
    <row r="76" spans="1:22" ht="23.25" customHeight="1">
      <c r="A76" s="441"/>
      <c r="B76" s="417"/>
      <c r="C76" s="417"/>
      <c r="D76" s="469"/>
      <c r="E76" s="470"/>
      <c r="F76" s="470"/>
      <c r="G76" s="470"/>
      <c r="H76" s="470"/>
      <c r="I76" s="470"/>
      <c r="J76" s="470"/>
      <c r="K76" s="470"/>
      <c r="L76" s="470"/>
      <c r="M76" s="470"/>
      <c r="N76" s="470"/>
      <c r="O76" s="470"/>
      <c r="P76" s="470"/>
      <c r="Q76" s="470"/>
      <c r="R76" s="471"/>
      <c r="S76" s="89" t="s">
        <v>133</v>
      </c>
      <c r="T76" s="103"/>
      <c r="U76" s="90" t="s">
        <v>299</v>
      </c>
      <c r="V76" s="181">
        <f>400000*4</f>
        <v>1600000</v>
      </c>
    </row>
    <row r="77" spans="1:22" ht="23.25" customHeight="1">
      <c r="A77" s="441"/>
      <c r="B77" s="417"/>
      <c r="C77" s="417"/>
      <c r="D77" s="469"/>
      <c r="E77" s="470"/>
      <c r="F77" s="470"/>
      <c r="G77" s="470"/>
      <c r="H77" s="470"/>
      <c r="I77" s="470"/>
      <c r="J77" s="470"/>
      <c r="K77" s="470"/>
      <c r="L77" s="470"/>
      <c r="M77" s="470"/>
      <c r="N77" s="470"/>
      <c r="O77" s="470"/>
      <c r="P77" s="470"/>
      <c r="Q77" s="470"/>
      <c r="R77" s="471"/>
      <c r="S77" s="85" t="s">
        <v>134</v>
      </c>
      <c r="T77" s="102"/>
      <c r="U77" s="86" t="s">
        <v>298</v>
      </c>
      <c r="V77" s="180">
        <f>400*500</f>
        <v>200000</v>
      </c>
    </row>
    <row r="78" spans="1:22" ht="23.25" customHeight="1">
      <c r="A78" s="441"/>
      <c r="B78" s="417"/>
      <c r="C78" s="442" t="s">
        <v>19</v>
      </c>
      <c r="D78" s="478">
        <v>19848000</v>
      </c>
      <c r="E78" s="465">
        <v>16058000</v>
      </c>
      <c r="F78" s="465">
        <v>16058000</v>
      </c>
      <c r="G78" s="465">
        <v>19848000</v>
      </c>
      <c r="H78" s="465">
        <v>13273000</v>
      </c>
      <c r="I78" s="465">
        <v>14363000</v>
      </c>
      <c r="J78" s="465">
        <v>14643000</v>
      </c>
      <c r="K78" s="465">
        <v>14643000</v>
      </c>
      <c r="L78" s="465">
        <v>16273000</v>
      </c>
      <c r="M78" s="465">
        <v>14893000</v>
      </c>
      <c r="N78" s="465">
        <v>14903000</v>
      </c>
      <c r="O78" s="465">
        <v>14903000</v>
      </c>
      <c r="P78" s="465">
        <v>15633000</v>
      </c>
      <c r="Q78" s="465">
        <f>SUM(V78:V98)</f>
        <v>15593000</v>
      </c>
      <c r="R78" s="466">
        <f>Q78-P78</f>
        <v>-40000</v>
      </c>
      <c r="S78" s="655" t="s">
        <v>72</v>
      </c>
      <c r="T78" s="656"/>
      <c r="U78" s="194" t="s">
        <v>243</v>
      </c>
      <c r="V78" s="179">
        <f>3000000*1</f>
        <v>3000000</v>
      </c>
    </row>
    <row r="79" spans="1:22" ht="23.25" customHeight="1">
      <c r="A79" s="441"/>
      <c r="B79" s="417"/>
      <c r="C79" s="417"/>
      <c r="D79" s="469"/>
      <c r="E79" s="470"/>
      <c r="F79" s="470"/>
      <c r="G79" s="470"/>
      <c r="H79" s="470"/>
      <c r="I79" s="470"/>
      <c r="J79" s="470"/>
      <c r="K79" s="470"/>
      <c r="L79" s="470"/>
      <c r="M79" s="470"/>
      <c r="N79" s="470"/>
      <c r="O79" s="470"/>
      <c r="P79" s="470"/>
      <c r="Q79" s="470"/>
      <c r="R79" s="471"/>
      <c r="S79" s="211" t="s">
        <v>73</v>
      </c>
      <c r="T79" s="102" t="s">
        <v>288</v>
      </c>
      <c r="U79" s="86" t="s">
        <v>353</v>
      </c>
      <c r="V79" s="180">
        <f>1400000*1</f>
        <v>1400000</v>
      </c>
    </row>
    <row r="80" spans="1:22" ht="23.25" customHeight="1">
      <c r="A80" s="441"/>
      <c r="B80" s="417"/>
      <c r="C80" s="417"/>
      <c r="D80" s="469"/>
      <c r="E80" s="470"/>
      <c r="F80" s="470"/>
      <c r="G80" s="470"/>
      <c r="H80" s="470"/>
      <c r="I80" s="470"/>
      <c r="J80" s="470"/>
      <c r="K80" s="470"/>
      <c r="L80" s="470"/>
      <c r="M80" s="470"/>
      <c r="N80" s="470"/>
      <c r="O80" s="470"/>
      <c r="P80" s="470"/>
      <c r="Q80" s="470"/>
      <c r="R80" s="471"/>
      <c r="S80" s="211"/>
      <c r="T80" s="102" t="s">
        <v>74</v>
      </c>
      <c r="U80" s="86" t="s">
        <v>251</v>
      </c>
      <c r="V80" s="180">
        <f>1200000*1</f>
        <v>1200000</v>
      </c>
    </row>
    <row r="81" spans="1:22" ht="23.25" customHeight="1">
      <c r="A81" s="441"/>
      <c r="B81" s="417"/>
      <c r="C81" s="417"/>
      <c r="D81" s="469"/>
      <c r="E81" s="470"/>
      <c r="F81" s="470"/>
      <c r="G81" s="470"/>
      <c r="H81" s="470"/>
      <c r="I81" s="470"/>
      <c r="J81" s="470"/>
      <c r="K81" s="470"/>
      <c r="L81" s="470"/>
      <c r="M81" s="470"/>
      <c r="N81" s="470"/>
      <c r="O81" s="470"/>
      <c r="P81" s="470"/>
      <c r="Q81" s="470"/>
      <c r="R81" s="471"/>
      <c r="S81" s="211"/>
      <c r="T81" s="102" t="s">
        <v>74</v>
      </c>
      <c r="U81" s="86" t="s">
        <v>251</v>
      </c>
      <c r="V81" s="180">
        <f>1200000*1</f>
        <v>1200000</v>
      </c>
    </row>
    <row r="82" spans="1:22" ht="23.25" customHeight="1">
      <c r="A82" s="441"/>
      <c r="B82" s="417"/>
      <c r="C82" s="417"/>
      <c r="D82" s="469"/>
      <c r="E82" s="470"/>
      <c r="F82" s="470"/>
      <c r="G82" s="470"/>
      <c r="H82" s="470"/>
      <c r="I82" s="470"/>
      <c r="J82" s="470"/>
      <c r="K82" s="470"/>
      <c r="L82" s="470"/>
      <c r="M82" s="470"/>
      <c r="N82" s="470"/>
      <c r="O82" s="470"/>
      <c r="P82" s="470"/>
      <c r="Q82" s="470"/>
      <c r="R82" s="471"/>
      <c r="S82" s="211"/>
      <c r="T82" s="102" t="s">
        <v>247</v>
      </c>
      <c r="U82" s="86" t="s">
        <v>352</v>
      </c>
      <c r="V82" s="180">
        <f>800000*1</f>
        <v>800000</v>
      </c>
    </row>
    <row r="83" spans="1:22" ht="23.25" customHeight="1">
      <c r="A83" s="441"/>
      <c r="B83" s="417"/>
      <c r="C83" s="417"/>
      <c r="D83" s="469"/>
      <c r="E83" s="470"/>
      <c r="F83" s="470"/>
      <c r="G83" s="470"/>
      <c r="H83" s="470"/>
      <c r="I83" s="470"/>
      <c r="J83" s="470"/>
      <c r="K83" s="470"/>
      <c r="L83" s="470"/>
      <c r="M83" s="470"/>
      <c r="N83" s="470"/>
      <c r="O83" s="470"/>
      <c r="P83" s="470"/>
      <c r="Q83" s="470"/>
      <c r="R83" s="471"/>
      <c r="S83" s="211"/>
      <c r="T83" s="102" t="s">
        <v>250</v>
      </c>
      <c r="U83" s="86" t="s">
        <v>251</v>
      </c>
      <c r="V83" s="180">
        <f>1200000*1</f>
        <v>1200000</v>
      </c>
    </row>
    <row r="84" spans="1:22" ht="23.25" customHeight="1">
      <c r="A84" s="441"/>
      <c r="B84" s="417"/>
      <c r="C84" s="417"/>
      <c r="D84" s="469"/>
      <c r="E84" s="470"/>
      <c r="F84" s="470"/>
      <c r="G84" s="470"/>
      <c r="H84" s="470"/>
      <c r="I84" s="470"/>
      <c r="J84" s="470"/>
      <c r="K84" s="470"/>
      <c r="L84" s="470"/>
      <c r="M84" s="470"/>
      <c r="N84" s="470"/>
      <c r="O84" s="470"/>
      <c r="P84" s="470"/>
      <c r="Q84" s="470"/>
      <c r="R84" s="471"/>
      <c r="S84" s="211"/>
      <c r="T84" s="102" t="s">
        <v>159</v>
      </c>
      <c r="U84" s="86" t="s">
        <v>352</v>
      </c>
      <c r="V84" s="180">
        <f>800000*1</f>
        <v>800000</v>
      </c>
    </row>
    <row r="85" spans="1:22" ht="23.25" customHeight="1">
      <c r="A85" s="441"/>
      <c r="B85" s="417"/>
      <c r="C85" s="417"/>
      <c r="D85" s="469"/>
      <c r="E85" s="470"/>
      <c r="F85" s="470"/>
      <c r="G85" s="470"/>
      <c r="H85" s="470"/>
      <c r="I85" s="470"/>
      <c r="J85" s="470"/>
      <c r="K85" s="470"/>
      <c r="L85" s="470"/>
      <c r="M85" s="470"/>
      <c r="N85" s="470"/>
      <c r="O85" s="470"/>
      <c r="P85" s="470"/>
      <c r="Q85" s="470"/>
      <c r="R85" s="471"/>
      <c r="S85" s="211" t="s">
        <v>75</v>
      </c>
      <c r="T85" s="102"/>
      <c r="U85" s="86" t="s">
        <v>290</v>
      </c>
      <c r="V85" s="180">
        <f>500000*1</f>
        <v>500000</v>
      </c>
    </row>
    <row r="86" spans="1:22" ht="23.25" customHeight="1">
      <c r="A86" s="441"/>
      <c r="B86" s="417"/>
      <c r="C86" s="417"/>
      <c r="D86" s="469"/>
      <c r="E86" s="470"/>
      <c r="F86" s="470"/>
      <c r="G86" s="470"/>
      <c r="H86" s="470"/>
      <c r="I86" s="470"/>
      <c r="J86" s="470"/>
      <c r="K86" s="470"/>
      <c r="L86" s="470"/>
      <c r="M86" s="470"/>
      <c r="N86" s="470"/>
      <c r="O86" s="470"/>
      <c r="P86" s="470"/>
      <c r="Q86" s="470"/>
      <c r="R86" s="471"/>
      <c r="S86" s="211" t="s">
        <v>76</v>
      </c>
      <c r="T86" s="102"/>
      <c r="U86" s="86" t="s">
        <v>160</v>
      </c>
      <c r="V86" s="180">
        <f>120000*2</f>
        <v>240000</v>
      </c>
    </row>
    <row r="87" spans="1:22" ht="23.25" customHeight="1">
      <c r="A87" s="441"/>
      <c r="B87" s="417"/>
      <c r="C87" s="417"/>
      <c r="D87" s="469"/>
      <c r="E87" s="470"/>
      <c r="F87" s="470"/>
      <c r="G87" s="470"/>
      <c r="H87" s="470"/>
      <c r="I87" s="470"/>
      <c r="J87" s="470"/>
      <c r="K87" s="470"/>
      <c r="L87" s="470"/>
      <c r="M87" s="470"/>
      <c r="N87" s="470"/>
      <c r="O87" s="470"/>
      <c r="P87" s="470"/>
      <c r="Q87" s="470"/>
      <c r="R87" s="471"/>
      <c r="S87" s="85" t="s">
        <v>77</v>
      </c>
      <c r="T87" s="102"/>
      <c r="U87" s="86" t="s">
        <v>123</v>
      </c>
      <c r="V87" s="180">
        <f>200000*12</f>
        <v>2400000</v>
      </c>
    </row>
    <row r="88" spans="1:22" ht="23.25" customHeight="1">
      <c r="A88" s="441"/>
      <c r="B88" s="417"/>
      <c r="C88" s="417"/>
      <c r="D88" s="469"/>
      <c r="E88" s="470"/>
      <c r="F88" s="470"/>
      <c r="G88" s="470"/>
      <c r="H88" s="470"/>
      <c r="I88" s="470"/>
      <c r="J88" s="470"/>
      <c r="K88" s="470"/>
      <c r="L88" s="470"/>
      <c r="M88" s="470"/>
      <c r="N88" s="470"/>
      <c r="O88" s="470"/>
      <c r="P88" s="470"/>
      <c r="Q88" s="470"/>
      <c r="R88" s="471"/>
      <c r="S88" s="85" t="s">
        <v>78</v>
      </c>
      <c r="T88" s="102"/>
      <c r="U88" s="86" t="s">
        <v>122</v>
      </c>
      <c r="V88" s="180">
        <v>1200000</v>
      </c>
    </row>
    <row r="89" spans="1:22" ht="23.25" customHeight="1">
      <c r="A89" s="441"/>
      <c r="B89" s="417"/>
      <c r="C89" s="417"/>
      <c r="D89" s="469"/>
      <c r="E89" s="470"/>
      <c r="F89" s="470"/>
      <c r="G89" s="470"/>
      <c r="H89" s="470"/>
      <c r="I89" s="470"/>
      <c r="J89" s="470"/>
      <c r="K89" s="470"/>
      <c r="L89" s="470"/>
      <c r="M89" s="470"/>
      <c r="N89" s="470"/>
      <c r="O89" s="470"/>
      <c r="P89" s="470"/>
      <c r="Q89" s="470"/>
      <c r="R89" s="471"/>
      <c r="S89" s="85" t="s">
        <v>79</v>
      </c>
      <c r="T89" s="102"/>
      <c r="U89" s="86" t="s">
        <v>130</v>
      </c>
      <c r="V89" s="180">
        <v>840000</v>
      </c>
    </row>
    <row r="90" spans="1:22" ht="23.25" customHeight="1">
      <c r="A90" s="441"/>
      <c r="B90" s="417"/>
      <c r="C90" s="417"/>
      <c r="D90" s="469"/>
      <c r="E90" s="470"/>
      <c r="F90" s="470"/>
      <c r="G90" s="470"/>
      <c r="H90" s="470"/>
      <c r="I90" s="470"/>
      <c r="J90" s="470"/>
      <c r="K90" s="470"/>
      <c r="L90" s="470"/>
      <c r="M90" s="470"/>
      <c r="N90" s="470"/>
      <c r="O90" s="470"/>
      <c r="P90" s="470"/>
      <c r="Q90" s="470"/>
      <c r="R90" s="471"/>
      <c r="S90" s="85" t="s">
        <v>80</v>
      </c>
      <c r="T90" s="104"/>
      <c r="U90" s="87" t="s">
        <v>161</v>
      </c>
      <c r="V90" s="180">
        <f>150000*1</f>
        <v>150000</v>
      </c>
    </row>
    <row r="91" spans="1:22" ht="23.25" customHeight="1">
      <c r="A91" s="441"/>
      <c r="B91" s="417"/>
      <c r="C91" s="417"/>
      <c r="D91" s="469"/>
      <c r="E91" s="470"/>
      <c r="F91" s="470"/>
      <c r="G91" s="470"/>
      <c r="H91" s="470"/>
      <c r="I91" s="470"/>
      <c r="J91" s="470"/>
      <c r="K91" s="470"/>
      <c r="L91" s="470"/>
      <c r="M91" s="470"/>
      <c r="N91" s="470"/>
      <c r="O91" s="470"/>
      <c r="P91" s="470"/>
      <c r="Q91" s="470"/>
      <c r="R91" s="471"/>
      <c r="S91" s="85" t="s">
        <v>202</v>
      </c>
      <c r="T91" s="104"/>
      <c r="U91" s="87" t="s">
        <v>161</v>
      </c>
      <c r="V91" s="180">
        <f>150000*1</f>
        <v>150000</v>
      </c>
    </row>
    <row r="92" spans="1:22" ht="23.25" customHeight="1">
      <c r="A92" s="441"/>
      <c r="B92" s="417"/>
      <c r="C92" s="417"/>
      <c r="D92" s="469"/>
      <c r="E92" s="470"/>
      <c r="F92" s="470"/>
      <c r="G92" s="470"/>
      <c r="H92" s="470"/>
      <c r="I92" s="470"/>
      <c r="J92" s="470"/>
      <c r="K92" s="470"/>
      <c r="L92" s="470"/>
      <c r="M92" s="470"/>
      <c r="N92" s="470"/>
      <c r="O92" s="470"/>
      <c r="P92" s="470"/>
      <c r="Q92" s="470"/>
      <c r="R92" s="471"/>
      <c r="S92" s="85" t="s">
        <v>81</v>
      </c>
      <c r="T92" s="104"/>
      <c r="U92" s="87" t="s">
        <v>82</v>
      </c>
      <c r="V92" s="180">
        <f>55000*1</f>
        <v>55000</v>
      </c>
    </row>
    <row r="93" spans="1:22" ht="23.25" customHeight="1">
      <c r="A93" s="441"/>
      <c r="B93" s="417"/>
      <c r="C93" s="417"/>
      <c r="D93" s="469"/>
      <c r="E93" s="470"/>
      <c r="F93" s="470"/>
      <c r="G93" s="470"/>
      <c r="H93" s="470"/>
      <c r="I93" s="470"/>
      <c r="J93" s="470"/>
      <c r="K93" s="470"/>
      <c r="L93" s="470"/>
      <c r="M93" s="470"/>
      <c r="N93" s="470"/>
      <c r="O93" s="470"/>
      <c r="P93" s="470"/>
      <c r="Q93" s="470"/>
      <c r="R93" s="471"/>
      <c r="S93" s="85" t="s">
        <v>83</v>
      </c>
      <c r="T93" s="104"/>
      <c r="U93" s="87" t="s">
        <v>128</v>
      </c>
      <c r="V93" s="180">
        <f>48000*1</f>
        <v>48000</v>
      </c>
    </row>
    <row r="94" spans="1:22" ht="23.25" customHeight="1">
      <c r="A94" s="441"/>
      <c r="B94" s="417"/>
      <c r="C94" s="417"/>
      <c r="D94" s="469"/>
      <c r="E94" s="470"/>
      <c r="F94" s="470"/>
      <c r="G94" s="470"/>
      <c r="H94" s="470"/>
      <c r="I94" s="470"/>
      <c r="J94" s="470"/>
      <c r="K94" s="470"/>
      <c r="L94" s="470"/>
      <c r="M94" s="470"/>
      <c r="N94" s="470"/>
      <c r="O94" s="470"/>
      <c r="P94" s="470"/>
      <c r="Q94" s="470"/>
      <c r="R94" s="471"/>
      <c r="S94" s="85" t="s">
        <v>146</v>
      </c>
      <c r="T94" s="104"/>
      <c r="U94" s="87" t="s">
        <v>635</v>
      </c>
      <c r="V94" s="180">
        <f>10000*16</f>
        <v>160000</v>
      </c>
    </row>
    <row r="95" spans="1:22" ht="23.25" customHeight="1">
      <c r="A95" s="441"/>
      <c r="B95" s="417"/>
      <c r="C95" s="417"/>
      <c r="D95" s="469"/>
      <c r="E95" s="470"/>
      <c r="F95" s="470"/>
      <c r="G95" s="470"/>
      <c r="H95" s="470"/>
      <c r="I95" s="470"/>
      <c r="J95" s="470"/>
      <c r="K95" s="470"/>
      <c r="L95" s="470"/>
      <c r="M95" s="470"/>
      <c r="N95" s="470"/>
      <c r="O95" s="470"/>
      <c r="P95" s="470"/>
      <c r="Q95" s="470"/>
      <c r="R95" s="471"/>
      <c r="S95" s="85" t="s">
        <v>234</v>
      </c>
      <c r="T95" s="104"/>
      <c r="U95" s="87" t="s">
        <v>244</v>
      </c>
      <c r="V95" s="180">
        <f>20000*5</f>
        <v>100000</v>
      </c>
    </row>
    <row r="96" spans="1:22" ht="23.25" customHeight="1">
      <c r="A96" s="441"/>
      <c r="B96" s="417"/>
      <c r="C96" s="417"/>
      <c r="D96" s="469"/>
      <c r="E96" s="470"/>
      <c r="F96" s="470"/>
      <c r="G96" s="470"/>
      <c r="H96" s="470"/>
      <c r="I96" s="470"/>
      <c r="J96" s="470"/>
      <c r="K96" s="470"/>
      <c r="L96" s="470"/>
      <c r="M96" s="470"/>
      <c r="N96" s="470"/>
      <c r="O96" s="470"/>
      <c r="P96" s="470"/>
      <c r="Q96" s="470"/>
      <c r="R96" s="471"/>
      <c r="S96" s="85" t="s">
        <v>304</v>
      </c>
      <c r="T96" s="104"/>
      <c r="U96" s="87" t="s">
        <v>305</v>
      </c>
      <c r="V96" s="180">
        <f>10000*1</f>
        <v>10000</v>
      </c>
    </row>
    <row r="97" spans="1:22" ht="23.25" customHeight="1">
      <c r="A97" s="441"/>
      <c r="B97" s="417"/>
      <c r="C97" s="417"/>
      <c r="D97" s="469"/>
      <c r="E97" s="470"/>
      <c r="F97" s="470"/>
      <c r="G97" s="470"/>
      <c r="H97" s="470"/>
      <c r="I97" s="470"/>
      <c r="J97" s="470"/>
      <c r="K97" s="470"/>
      <c r="L97" s="470"/>
      <c r="M97" s="470"/>
      <c r="N97" s="470"/>
      <c r="O97" s="470"/>
      <c r="P97" s="470"/>
      <c r="Q97" s="470"/>
      <c r="R97" s="471"/>
      <c r="S97" s="85" t="s">
        <v>156</v>
      </c>
      <c r="T97" s="104"/>
      <c r="U97" s="87" t="s">
        <v>351</v>
      </c>
      <c r="V97" s="180">
        <f>20000*1</f>
        <v>20000</v>
      </c>
    </row>
    <row r="98" spans="1:22" ht="26.25" customHeight="1">
      <c r="A98" s="441"/>
      <c r="B98" s="417"/>
      <c r="C98" s="423"/>
      <c r="D98" s="469"/>
      <c r="E98" s="470"/>
      <c r="F98" s="470"/>
      <c r="G98" s="470"/>
      <c r="H98" s="470"/>
      <c r="I98" s="470"/>
      <c r="J98" s="470"/>
      <c r="K98" s="470"/>
      <c r="L98" s="470"/>
      <c r="M98" s="470"/>
      <c r="N98" s="470"/>
      <c r="O98" s="470"/>
      <c r="P98" s="470"/>
      <c r="Q98" s="470"/>
      <c r="R98" s="471"/>
      <c r="S98" s="293" t="s">
        <v>145</v>
      </c>
      <c r="T98" s="105"/>
      <c r="U98" s="88" t="s">
        <v>181</v>
      </c>
      <c r="V98" s="181">
        <f>120000*1</f>
        <v>120000</v>
      </c>
    </row>
    <row r="99" spans="1:22" ht="21.75" customHeight="1">
      <c r="A99" s="441"/>
      <c r="B99" s="417"/>
      <c r="C99" s="442" t="s">
        <v>15</v>
      </c>
      <c r="D99" s="478">
        <v>17200000</v>
      </c>
      <c r="E99" s="465">
        <v>17600000</v>
      </c>
      <c r="F99" s="465">
        <v>17600000</v>
      </c>
      <c r="G99" s="465">
        <v>17200000</v>
      </c>
      <c r="H99" s="465">
        <v>17600000</v>
      </c>
      <c r="I99" s="465">
        <v>21200000</v>
      </c>
      <c r="J99" s="465">
        <v>23200000</v>
      </c>
      <c r="K99" s="465">
        <v>26600000</v>
      </c>
      <c r="L99" s="465">
        <v>26600000</v>
      </c>
      <c r="M99" s="465">
        <v>24920000</v>
      </c>
      <c r="N99" s="465">
        <v>24920000</v>
      </c>
      <c r="O99" s="465">
        <v>15300000</v>
      </c>
      <c r="P99" s="465">
        <v>15300000</v>
      </c>
      <c r="Q99" s="465">
        <f>SUM(V99:V105)</f>
        <v>25600000</v>
      </c>
      <c r="R99" s="466">
        <f>Q99-P99</f>
        <v>10300000</v>
      </c>
      <c r="S99" s="83" t="s">
        <v>84</v>
      </c>
      <c r="T99" s="101" t="s">
        <v>121</v>
      </c>
      <c r="U99" s="84" t="s">
        <v>356</v>
      </c>
      <c r="V99" s="179">
        <f>800000*11</f>
        <v>8800000</v>
      </c>
    </row>
    <row r="100" spans="1:22" ht="21.75" customHeight="1">
      <c r="A100" s="441"/>
      <c r="B100" s="417"/>
      <c r="C100" s="417"/>
      <c r="D100" s="469"/>
      <c r="E100" s="470"/>
      <c r="F100" s="470"/>
      <c r="G100" s="470"/>
      <c r="H100" s="470"/>
      <c r="I100" s="470"/>
      <c r="J100" s="470"/>
      <c r="K100" s="470"/>
      <c r="L100" s="470"/>
      <c r="M100" s="470"/>
      <c r="N100" s="470"/>
      <c r="O100" s="470"/>
      <c r="P100" s="470"/>
      <c r="Q100" s="470"/>
      <c r="R100" s="471"/>
      <c r="S100" s="85"/>
      <c r="T100" s="102" t="s">
        <v>85</v>
      </c>
      <c r="U100" s="86" t="s">
        <v>248</v>
      </c>
      <c r="V100" s="180">
        <f>200000*12</f>
        <v>2400000</v>
      </c>
    </row>
    <row r="101" spans="1:22" ht="21.75" customHeight="1">
      <c r="A101" s="441"/>
      <c r="B101" s="417"/>
      <c r="C101" s="417"/>
      <c r="D101" s="469"/>
      <c r="E101" s="470"/>
      <c r="F101" s="470"/>
      <c r="G101" s="470"/>
      <c r="H101" s="470"/>
      <c r="I101" s="470"/>
      <c r="J101" s="470"/>
      <c r="K101" s="470"/>
      <c r="L101" s="470"/>
      <c r="M101" s="470"/>
      <c r="N101" s="470"/>
      <c r="O101" s="470"/>
      <c r="P101" s="470"/>
      <c r="Q101" s="470"/>
      <c r="R101" s="471"/>
      <c r="S101" s="85"/>
      <c r="T101" s="102" t="s">
        <v>85</v>
      </c>
      <c r="U101" s="86" t="s">
        <v>248</v>
      </c>
      <c r="V101" s="180">
        <f>200000*12</f>
        <v>2400000</v>
      </c>
    </row>
    <row r="102" spans="1:22" ht="21.75" customHeight="1">
      <c r="A102" s="441"/>
      <c r="B102" s="417"/>
      <c r="C102" s="417"/>
      <c r="D102" s="469"/>
      <c r="E102" s="470"/>
      <c r="F102" s="470"/>
      <c r="G102" s="470"/>
      <c r="H102" s="470"/>
      <c r="I102" s="470"/>
      <c r="J102" s="470"/>
      <c r="K102" s="470"/>
      <c r="L102" s="470"/>
      <c r="M102" s="470"/>
      <c r="N102" s="470"/>
      <c r="O102" s="470"/>
      <c r="P102" s="470"/>
      <c r="Q102" s="470"/>
      <c r="R102" s="471"/>
      <c r="S102" s="85"/>
      <c r="T102" s="102" t="s">
        <v>247</v>
      </c>
      <c r="U102" s="86" t="s">
        <v>248</v>
      </c>
      <c r="V102" s="180">
        <f>200000*12</f>
        <v>2400000</v>
      </c>
    </row>
    <row r="103" spans="1:22" ht="21.75" customHeight="1">
      <c r="A103" s="441"/>
      <c r="B103" s="417"/>
      <c r="C103" s="417"/>
      <c r="D103" s="469"/>
      <c r="E103" s="470"/>
      <c r="F103" s="470"/>
      <c r="G103" s="470"/>
      <c r="H103" s="470"/>
      <c r="I103" s="470"/>
      <c r="J103" s="470"/>
      <c r="K103" s="470"/>
      <c r="L103" s="470"/>
      <c r="M103" s="470"/>
      <c r="N103" s="470"/>
      <c r="O103" s="470"/>
      <c r="P103" s="470"/>
      <c r="Q103" s="470"/>
      <c r="R103" s="471"/>
      <c r="S103" s="85"/>
      <c r="T103" s="102" t="s">
        <v>249</v>
      </c>
      <c r="U103" s="86" t="s">
        <v>123</v>
      </c>
      <c r="V103" s="180">
        <f>200000*12</f>
        <v>2400000</v>
      </c>
    </row>
    <row r="104" spans="1:22" ht="21.75" customHeight="1">
      <c r="A104" s="441"/>
      <c r="B104" s="417"/>
      <c r="C104" s="417"/>
      <c r="D104" s="469"/>
      <c r="E104" s="470"/>
      <c r="F104" s="470"/>
      <c r="G104" s="470"/>
      <c r="H104" s="470"/>
      <c r="I104" s="470"/>
      <c r="J104" s="470"/>
      <c r="K104" s="470"/>
      <c r="L104" s="470"/>
      <c r="M104" s="470"/>
      <c r="N104" s="470"/>
      <c r="O104" s="470"/>
      <c r="P104" s="470"/>
      <c r="Q104" s="470"/>
      <c r="R104" s="474"/>
      <c r="S104" s="85"/>
      <c r="T104" s="102" t="s">
        <v>250</v>
      </c>
      <c r="U104" s="86" t="s">
        <v>122</v>
      </c>
      <c r="V104" s="180">
        <f>100000*12</f>
        <v>1200000</v>
      </c>
    </row>
    <row r="105" spans="1:22" ht="21.75" customHeight="1">
      <c r="A105" s="441"/>
      <c r="B105" s="417"/>
      <c r="C105" s="423"/>
      <c r="D105" s="475"/>
      <c r="E105" s="476"/>
      <c r="F105" s="476"/>
      <c r="G105" s="476"/>
      <c r="H105" s="476"/>
      <c r="I105" s="476"/>
      <c r="J105" s="476"/>
      <c r="K105" s="476"/>
      <c r="L105" s="476"/>
      <c r="M105" s="476"/>
      <c r="N105" s="476"/>
      <c r="O105" s="476"/>
      <c r="P105" s="476"/>
      <c r="Q105" s="476"/>
      <c r="R105" s="477"/>
      <c r="S105" s="638" t="s">
        <v>174</v>
      </c>
      <c r="T105" s="639"/>
      <c r="U105" s="90" t="s">
        <v>327</v>
      </c>
      <c r="V105" s="181">
        <f>500000*12</f>
        <v>6000000</v>
      </c>
    </row>
    <row r="106" spans="1:22" ht="21.75" customHeight="1">
      <c r="A106" s="441"/>
      <c r="B106" s="423"/>
      <c r="C106" s="424" t="s">
        <v>204</v>
      </c>
      <c r="D106" s="469"/>
      <c r="E106" s="470"/>
      <c r="F106" s="470"/>
      <c r="G106" s="470">
        <v>0</v>
      </c>
      <c r="H106" s="470">
        <v>400000</v>
      </c>
      <c r="I106" s="470">
        <v>800000</v>
      </c>
      <c r="J106" s="470">
        <v>0</v>
      </c>
      <c r="K106" s="470">
        <v>1200000</v>
      </c>
      <c r="L106" s="470">
        <v>1200000</v>
      </c>
      <c r="M106" s="470">
        <v>1600000</v>
      </c>
      <c r="N106" s="470">
        <v>1600000</v>
      </c>
      <c r="O106" s="470">
        <v>1600000</v>
      </c>
      <c r="P106" s="470">
        <v>1600000</v>
      </c>
      <c r="Q106" s="470">
        <f>V106</f>
        <v>1600000</v>
      </c>
      <c r="R106" s="497">
        <f>Q106-P106</f>
        <v>0</v>
      </c>
      <c r="S106" s="661" t="s">
        <v>204</v>
      </c>
      <c r="T106" s="662"/>
      <c r="U106" s="90" t="s">
        <v>300</v>
      </c>
      <c r="V106" s="181">
        <f>400000*4</f>
        <v>1600000</v>
      </c>
    </row>
    <row r="107" spans="1:22" s="461" customFormat="1" ht="23.25" customHeight="1">
      <c r="A107" s="657" t="s">
        <v>86</v>
      </c>
      <c r="B107" s="658"/>
      <c r="C107" s="659"/>
      <c r="D107" s="156">
        <f t="shared" ref="D107:Q107" si="7">D108</f>
        <v>13992000</v>
      </c>
      <c r="E107" s="149">
        <f t="shared" si="7"/>
        <v>1526000</v>
      </c>
      <c r="F107" s="149" t="e">
        <f t="shared" si="7"/>
        <v>#REF!</v>
      </c>
      <c r="G107" s="149">
        <f t="shared" si="7"/>
        <v>13992000</v>
      </c>
      <c r="H107" s="149" t="e">
        <f t="shared" si="7"/>
        <v>#REF!</v>
      </c>
      <c r="I107" s="149">
        <f t="shared" si="7"/>
        <v>11370000</v>
      </c>
      <c r="J107" s="149">
        <f t="shared" si="7"/>
        <v>2720000</v>
      </c>
      <c r="K107" s="149">
        <f t="shared" si="7"/>
        <v>34020000</v>
      </c>
      <c r="L107" s="149">
        <f t="shared" si="7"/>
        <v>25970000</v>
      </c>
      <c r="M107" s="149">
        <f t="shared" si="7"/>
        <v>18850000</v>
      </c>
      <c r="N107" s="149">
        <f t="shared" si="7"/>
        <v>33513000</v>
      </c>
      <c r="O107" s="149">
        <f t="shared" si="7"/>
        <v>38213000</v>
      </c>
      <c r="P107" s="149">
        <f t="shared" si="7"/>
        <v>41083000</v>
      </c>
      <c r="Q107" s="149">
        <f t="shared" si="7"/>
        <v>6490000</v>
      </c>
      <c r="R107" s="486">
        <f t="shared" ref="R107:R108" si="8">Q107-P107</f>
        <v>-34593000</v>
      </c>
      <c r="S107" s="81"/>
      <c r="T107" s="532"/>
      <c r="U107" s="418"/>
      <c r="V107" s="178"/>
    </row>
    <row r="108" spans="1:22" ht="23.25" customHeight="1">
      <c r="A108" s="441"/>
      <c r="B108" s="635" t="s">
        <v>17</v>
      </c>
      <c r="C108" s="660"/>
      <c r="D108" s="157">
        <f t="shared" ref="D108:Q108" si="9">SUM(D109:D117)</f>
        <v>13992000</v>
      </c>
      <c r="E108" s="150">
        <f t="shared" si="9"/>
        <v>1526000</v>
      </c>
      <c r="F108" s="150" t="e">
        <f t="shared" si="9"/>
        <v>#REF!</v>
      </c>
      <c r="G108" s="150">
        <f t="shared" si="9"/>
        <v>13992000</v>
      </c>
      <c r="H108" s="150" t="e">
        <f t="shared" si="9"/>
        <v>#REF!</v>
      </c>
      <c r="I108" s="150">
        <f t="shared" si="9"/>
        <v>11370000</v>
      </c>
      <c r="J108" s="150">
        <f t="shared" si="9"/>
        <v>2720000</v>
      </c>
      <c r="K108" s="150">
        <f t="shared" si="9"/>
        <v>34020000</v>
      </c>
      <c r="L108" s="150">
        <f t="shared" si="9"/>
        <v>25970000</v>
      </c>
      <c r="M108" s="150">
        <f t="shared" si="9"/>
        <v>18850000</v>
      </c>
      <c r="N108" s="150">
        <f t="shared" si="9"/>
        <v>33513000</v>
      </c>
      <c r="O108" s="150">
        <f t="shared" si="9"/>
        <v>38213000</v>
      </c>
      <c r="P108" s="150">
        <f t="shared" si="9"/>
        <v>41083000</v>
      </c>
      <c r="Q108" s="150">
        <f t="shared" si="9"/>
        <v>6490000</v>
      </c>
      <c r="R108" s="486">
        <f t="shared" si="8"/>
        <v>-34593000</v>
      </c>
      <c r="S108" s="83"/>
      <c r="T108" s="467"/>
      <c r="U108" s="468"/>
      <c r="V108" s="179"/>
    </row>
    <row r="109" spans="1:22" ht="23.25" customHeight="1">
      <c r="A109" s="441"/>
      <c r="B109" s="432"/>
      <c r="C109" s="487" t="s">
        <v>17</v>
      </c>
      <c r="D109" s="157">
        <v>1100000</v>
      </c>
      <c r="E109" s="150">
        <v>0</v>
      </c>
      <c r="F109" s="150" t="e">
        <f>SUM(#REF!)</f>
        <v>#REF!</v>
      </c>
      <c r="G109" s="150">
        <v>1100000</v>
      </c>
      <c r="H109" s="150">
        <v>4000000</v>
      </c>
      <c r="I109" s="150">
        <v>2000000</v>
      </c>
      <c r="J109" s="150">
        <v>0</v>
      </c>
      <c r="K109" s="150">
        <v>15800000</v>
      </c>
      <c r="L109" s="150">
        <v>800000</v>
      </c>
      <c r="M109" s="150">
        <v>6300000</v>
      </c>
      <c r="N109" s="150">
        <v>5400000</v>
      </c>
      <c r="O109" s="150">
        <v>10700000</v>
      </c>
      <c r="P109" s="150">
        <v>10270000</v>
      </c>
      <c r="Q109" s="150">
        <f>SUM(V108:V108)</f>
        <v>0</v>
      </c>
      <c r="R109" s="91">
        <f>Q109-P109</f>
        <v>-10270000</v>
      </c>
      <c r="S109" s="81" t="s">
        <v>382</v>
      </c>
      <c r="T109" s="553"/>
      <c r="U109" s="82" t="s">
        <v>383</v>
      </c>
      <c r="V109" s="178">
        <f>700000*1</f>
        <v>700000</v>
      </c>
    </row>
    <row r="110" spans="1:22" ht="23.25" customHeight="1">
      <c r="A110" s="441"/>
      <c r="B110" s="432"/>
      <c r="C110" s="485" t="s">
        <v>18</v>
      </c>
      <c r="D110" s="155">
        <v>495000</v>
      </c>
      <c r="E110" s="148">
        <v>0</v>
      </c>
      <c r="F110" s="148" t="e">
        <f>#REF!</f>
        <v>#REF!</v>
      </c>
      <c r="G110" s="148">
        <v>495000</v>
      </c>
      <c r="H110" s="148" t="e">
        <f>#REF!</f>
        <v>#REF!</v>
      </c>
      <c r="I110" s="148">
        <v>3600000</v>
      </c>
      <c r="J110" s="148">
        <v>300000</v>
      </c>
      <c r="K110" s="148">
        <v>7600000</v>
      </c>
      <c r="L110" s="148">
        <v>16050000</v>
      </c>
      <c r="M110" s="148">
        <v>4700000</v>
      </c>
      <c r="N110" s="148">
        <v>11263000</v>
      </c>
      <c r="O110" s="148">
        <v>15463000</v>
      </c>
      <c r="P110" s="148">
        <v>19463000</v>
      </c>
      <c r="Q110" s="148">
        <f>SUM(V109:V109)</f>
        <v>700000</v>
      </c>
      <c r="R110" s="295">
        <f>Q110-P110</f>
        <v>-18763000</v>
      </c>
      <c r="S110" s="211" t="s">
        <v>92</v>
      </c>
      <c r="T110" s="104"/>
      <c r="U110" s="87" t="s">
        <v>359</v>
      </c>
      <c r="V110" s="180">
        <f>400000*1</f>
        <v>400000</v>
      </c>
    </row>
    <row r="111" spans="1:22" ht="23.25" customHeight="1">
      <c r="A111" s="441"/>
      <c r="B111" s="417"/>
      <c r="C111" s="663" t="s">
        <v>87</v>
      </c>
      <c r="D111" s="469">
        <v>12397000</v>
      </c>
      <c r="E111" s="470">
        <v>1526000</v>
      </c>
      <c r="F111" s="470">
        <v>2076000</v>
      </c>
      <c r="G111" s="470">
        <v>12397000</v>
      </c>
      <c r="H111" s="470">
        <v>3126000</v>
      </c>
      <c r="I111" s="470">
        <v>5770000</v>
      </c>
      <c r="J111" s="470">
        <v>2420000</v>
      </c>
      <c r="K111" s="470">
        <v>10620000</v>
      </c>
      <c r="L111" s="470">
        <v>9120000</v>
      </c>
      <c r="M111" s="470">
        <v>7850000</v>
      </c>
      <c r="N111" s="470">
        <v>16850000</v>
      </c>
      <c r="O111" s="470">
        <v>12050000</v>
      </c>
      <c r="P111" s="470">
        <v>11350000</v>
      </c>
      <c r="Q111" s="470">
        <f>SUM(V110:V116)</f>
        <v>5790000</v>
      </c>
      <c r="R111" s="471">
        <f>Q111-P111</f>
        <v>-5560000</v>
      </c>
      <c r="S111" s="211" t="s">
        <v>138</v>
      </c>
      <c r="T111" s="104"/>
      <c r="U111" s="87" t="s">
        <v>182</v>
      </c>
      <c r="V111" s="180">
        <f>130000*1</f>
        <v>130000</v>
      </c>
    </row>
    <row r="112" spans="1:22" ht="23.25" customHeight="1">
      <c r="A112" s="441"/>
      <c r="B112" s="417"/>
      <c r="C112" s="663"/>
      <c r="D112" s="469"/>
      <c r="E112" s="470"/>
      <c r="F112" s="470"/>
      <c r="G112" s="470"/>
      <c r="H112" s="470"/>
      <c r="I112" s="470"/>
      <c r="J112" s="470"/>
      <c r="K112" s="470"/>
      <c r="L112" s="470"/>
      <c r="M112" s="470"/>
      <c r="N112" s="470"/>
      <c r="O112" s="470"/>
      <c r="P112" s="470"/>
      <c r="Q112" s="470"/>
      <c r="R112" s="471"/>
      <c r="S112" s="211" t="s">
        <v>358</v>
      </c>
      <c r="T112" s="104"/>
      <c r="U112" s="87" t="s">
        <v>353</v>
      </c>
      <c r="V112" s="180">
        <f>1400000*1</f>
        <v>1400000</v>
      </c>
    </row>
    <row r="113" spans="1:22" ht="23.25" customHeight="1">
      <c r="A113" s="441"/>
      <c r="B113" s="417"/>
      <c r="C113" s="663"/>
      <c r="D113" s="469"/>
      <c r="E113" s="470"/>
      <c r="F113" s="470"/>
      <c r="G113" s="470"/>
      <c r="H113" s="470"/>
      <c r="I113" s="470"/>
      <c r="J113" s="470"/>
      <c r="K113" s="470"/>
      <c r="L113" s="470"/>
      <c r="M113" s="470"/>
      <c r="N113" s="470"/>
      <c r="O113" s="470"/>
      <c r="P113" s="470"/>
      <c r="Q113" s="470"/>
      <c r="R113" s="471"/>
      <c r="S113" s="211" t="s">
        <v>173</v>
      </c>
      <c r="T113" s="104"/>
      <c r="U113" s="87" t="s">
        <v>357</v>
      </c>
      <c r="V113" s="180">
        <f>25000*1*12</f>
        <v>300000</v>
      </c>
    </row>
    <row r="114" spans="1:22" ht="23.25" customHeight="1">
      <c r="A114" s="441"/>
      <c r="B114" s="417"/>
      <c r="C114" s="490"/>
      <c r="D114" s="469"/>
      <c r="E114" s="470"/>
      <c r="F114" s="470"/>
      <c r="G114" s="470"/>
      <c r="H114" s="470"/>
      <c r="I114" s="470"/>
      <c r="J114" s="470"/>
      <c r="K114" s="470"/>
      <c r="L114" s="470"/>
      <c r="M114" s="470"/>
      <c r="N114" s="470"/>
      <c r="O114" s="470"/>
      <c r="P114" s="470"/>
      <c r="Q114" s="470"/>
      <c r="R114" s="471"/>
      <c r="S114" s="211" t="s">
        <v>233</v>
      </c>
      <c r="T114" s="104" t="s">
        <v>275</v>
      </c>
      <c r="U114" s="87" t="s">
        <v>380</v>
      </c>
      <c r="V114" s="180">
        <f>2500000*1</f>
        <v>2500000</v>
      </c>
    </row>
    <row r="115" spans="1:22" ht="23.25" customHeight="1">
      <c r="A115" s="441"/>
      <c r="B115" s="417"/>
      <c r="C115" s="490"/>
      <c r="D115" s="469"/>
      <c r="E115" s="470"/>
      <c r="F115" s="470"/>
      <c r="G115" s="470"/>
      <c r="H115" s="470"/>
      <c r="I115" s="470"/>
      <c r="J115" s="470"/>
      <c r="K115" s="470"/>
      <c r="L115" s="470"/>
      <c r="M115" s="470"/>
      <c r="N115" s="470"/>
      <c r="O115" s="470"/>
      <c r="P115" s="470"/>
      <c r="Q115" s="470"/>
      <c r="R115" s="471"/>
      <c r="S115" s="211" t="s">
        <v>293</v>
      </c>
      <c r="T115" s="104"/>
      <c r="U115" s="87" t="s">
        <v>360</v>
      </c>
      <c r="V115" s="180">
        <f>90000*6</f>
        <v>540000</v>
      </c>
    </row>
    <row r="116" spans="1:22" ht="23.25" customHeight="1">
      <c r="A116" s="441"/>
      <c r="B116" s="417"/>
      <c r="C116" s="490"/>
      <c r="D116" s="469"/>
      <c r="E116" s="470"/>
      <c r="F116" s="470"/>
      <c r="G116" s="470"/>
      <c r="H116" s="470"/>
      <c r="I116" s="470"/>
      <c r="J116" s="470"/>
      <c r="K116" s="470"/>
      <c r="L116" s="470"/>
      <c r="M116" s="470"/>
      <c r="N116" s="470"/>
      <c r="O116" s="470"/>
      <c r="P116" s="470"/>
      <c r="Q116" s="470"/>
      <c r="R116" s="471"/>
      <c r="S116" s="211" t="s">
        <v>50</v>
      </c>
      <c r="T116" s="104"/>
      <c r="U116" s="87" t="s">
        <v>294</v>
      </c>
      <c r="V116" s="180">
        <f>260000*2</f>
        <v>520000</v>
      </c>
    </row>
    <row r="117" spans="1:22" ht="23.25" customHeight="1">
      <c r="A117" s="441"/>
      <c r="B117" s="417"/>
      <c r="C117" s="490"/>
      <c r="D117" s="469"/>
      <c r="E117" s="470"/>
      <c r="F117" s="470"/>
      <c r="G117" s="470"/>
      <c r="H117" s="470"/>
      <c r="I117" s="470"/>
      <c r="J117" s="470"/>
      <c r="K117" s="470"/>
      <c r="L117" s="470"/>
      <c r="M117" s="470"/>
      <c r="N117" s="470"/>
      <c r="O117" s="470"/>
      <c r="P117" s="470"/>
      <c r="Q117" s="470"/>
      <c r="R117" s="471"/>
      <c r="S117" s="79"/>
      <c r="T117" s="533"/>
      <c r="U117" s="534"/>
      <c r="V117" s="177"/>
    </row>
    <row r="118" spans="1:22" s="461" customFormat="1" ht="18" customHeight="1">
      <c r="A118" s="664" t="s">
        <v>6</v>
      </c>
      <c r="B118" s="665"/>
      <c r="C118" s="666"/>
      <c r="D118" s="491">
        <f t="shared" ref="D118:J118" si="10">SUM(D120:D214)</f>
        <v>98495000</v>
      </c>
      <c r="E118" s="492">
        <f t="shared" si="10"/>
        <v>97896000</v>
      </c>
      <c r="F118" s="492">
        <f t="shared" si="10"/>
        <v>89422000</v>
      </c>
      <c r="G118" s="492">
        <f t="shared" si="10"/>
        <v>98495000</v>
      </c>
      <c r="H118" s="492">
        <f t="shared" si="10"/>
        <v>89377000</v>
      </c>
      <c r="I118" s="492">
        <f t="shared" si="10"/>
        <v>1012073000</v>
      </c>
      <c r="J118" s="492">
        <f t="shared" si="10"/>
        <v>1412465000</v>
      </c>
      <c r="K118" s="492">
        <f t="shared" ref="K118:Q118" si="11">K119</f>
        <v>1459650000</v>
      </c>
      <c r="L118" s="492">
        <f t="shared" si="11"/>
        <v>1918028400</v>
      </c>
      <c r="M118" s="492">
        <f t="shared" si="11"/>
        <v>2529796000</v>
      </c>
      <c r="N118" s="492">
        <f t="shared" si="11"/>
        <v>2549377000</v>
      </c>
      <c r="O118" s="492">
        <f t="shared" si="11"/>
        <v>2544053000</v>
      </c>
      <c r="P118" s="492">
        <f t="shared" si="11"/>
        <v>2558612000</v>
      </c>
      <c r="Q118" s="492">
        <f t="shared" si="11"/>
        <v>2604528000</v>
      </c>
      <c r="R118" s="493">
        <f>Q118-P118</f>
        <v>45916000</v>
      </c>
      <c r="S118" s="81"/>
      <c r="T118" s="532"/>
      <c r="U118" s="418"/>
      <c r="V118" s="178"/>
    </row>
    <row r="119" spans="1:22" ht="18" customHeight="1">
      <c r="A119" s="441"/>
      <c r="B119" s="635" t="s">
        <v>6</v>
      </c>
      <c r="C119" s="660"/>
      <c r="D119" s="158">
        <f t="shared" ref="D119:K119" si="12">SUM(D120:D214)</f>
        <v>98495000</v>
      </c>
      <c r="E119" s="151">
        <f t="shared" si="12"/>
        <v>97896000</v>
      </c>
      <c r="F119" s="151">
        <f t="shared" si="12"/>
        <v>89422000</v>
      </c>
      <c r="G119" s="151">
        <f t="shared" si="12"/>
        <v>98495000</v>
      </c>
      <c r="H119" s="151">
        <f t="shared" si="12"/>
        <v>89377000</v>
      </c>
      <c r="I119" s="151">
        <f t="shared" si="12"/>
        <v>1012073000</v>
      </c>
      <c r="J119" s="151">
        <f t="shared" si="12"/>
        <v>1412465000</v>
      </c>
      <c r="K119" s="151">
        <f t="shared" si="12"/>
        <v>1459650000</v>
      </c>
      <c r="L119" s="151">
        <f>SUM(L120:L274)</f>
        <v>1918028400</v>
      </c>
      <c r="M119" s="151">
        <f>SUM(M120:M274)</f>
        <v>2529796000</v>
      </c>
      <c r="N119" s="151">
        <f>SUM(N120:N274)</f>
        <v>2549377000</v>
      </c>
      <c r="O119" s="151">
        <f>SUM(O120:O275)</f>
        <v>2544053000</v>
      </c>
      <c r="P119" s="151">
        <f>SUM(P120:P276)</f>
        <v>2558612000</v>
      </c>
      <c r="Q119" s="151">
        <f>SUM(Q120:Q276)</f>
        <v>2604528000</v>
      </c>
      <c r="R119" s="493">
        <f>Q119-P119</f>
        <v>45916000</v>
      </c>
      <c r="S119" s="92" t="s">
        <v>365</v>
      </c>
      <c r="T119" s="106" t="s">
        <v>224</v>
      </c>
      <c r="U119" s="93" t="s">
        <v>366</v>
      </c>
      <c r="V119" s="178">
        <f>150000*4</f>
        <v>600000</v>
      </c>
    </row>
    <row r="120" spans="1:22" ht="23.25" customHeight="1">
      <c r="A120" s="441"/>
      <c r="B120" s="487"/>
      <c r="C120" s="667" t="s">
        <v>47</v>
      </c>
      <c r="D120" s="157">
        <v>26694000</v>
      </c>
      <c r="E120" s="150">
        <v>27040000</v>
      </c>
      <c r="F120" s="150">
        <v>27340000</v>
      </c>
      <c r="G120" s="150">
        <v>26694000</v>
      </c>
      <c r="H120" s="150">
        <v>24604000</v>
      </c>
      <c r="I120" s="150">
        <v>27672000</v>
      </c>
      <c r="J120" s="150">
        <v>28756000</v>
      </c>
      <c r="K120" s="150">
        <v>40516000</v>
      </c>
      <c r="L120" s="150">
        <v>45056000</v>
      </c>
      <c r="M120" s="150">
        <v>56688000</v>
      </c>
      <c r="N120" s="150">
        <v>56688000</v>
      </c>
      <c r="O120" s="150">
        <v>29788000</v>
      </c>
      <c r="P120" s="150">
        <v>23230000</v>
      </c>
      <c r="Q120" s="150">
        <f>SUM(V119:V153)</f>
        <v>63360000</v>
      </c>
      <c r="R120" s="91">
        <f>Q120-P120</f>
        <v>40130000</v>
      </c>
      <c r="S120" s="92" t="s">
        <v>362</v>
      </c>
      <c r="T120" s="106" t="s">
        <v>363</v>
      </c>
      <c r="U120" s="93" t="s">
        <v>364</v>
      </c>
      <c r="V120" s="178">
        <v>300000</v>
      </c>
    </row>
    <row r="121" spans="1:22" ht="23.25" customHeight="1">
      <c r="A121" s="441"/>
      <c r="B121" s="488"/>
      <c r="C121" s="663"/>
      <c r="D121" s="159"/>
      <c r="E121" s="152"/>
      <c r="F121" s="152"/>
      <c r="G121" s="152"/>
      <c r="H121" s="152"/>
      <c r="I121" s="152"/>
      <c r="J121" s="152"/>
      <c r="K121" s="152"/>
      <c r="L121" s="152"/>
      <c r="M121" s="152"/>
      <c r="N121" s="152"/>
      <c r="O121" s="152"/>
      <c r="P121" s="152"/>
      <c r="Q121" s="152"/>
      <c r="R121" s="94"/>
      <c r="S121" s="92" t="s">
        <v>368</v>
      </c>
      <c r="T121" s="106"/>
      <c r="U121" s="93" t="s">
        <v>214</v>
      </c>
      <c r="V121" s="178">
        <f>200000*1</f>
        <v>200000</v>
      </c>
    </row>
    <row r="122" spans="1:22" ht="23.25" customHeight="1">
      <c r="A122" s="441"/>
      <c r="B122" s="488"/>
      <c r="C122" s="663"/>
      <c r="D122" s="159"/>
      <c r="E122" s="152"/>
      <c r="F122" s="152"/>
      <c r="G122" s="152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  <c r="R122" s="94"/>
      <c r="S122" s="92" t="s">
        <v>93</v>
      </c>
      <c r="T122" s="106" t="s">
        <v>94</v>
      </c>
      <c r="U122" s="93" t="s">
        <v>216</v>
      </c>
      <c r="V122" s="178">
        <f>100000*2</f>
        <v>200000</v>
      </c>
    </row>
    <row r="123" spans="1:22" ht="23.25" customHeight="1">
      <c r="A123" s="441"/>
      <c r="B123" s="488"/>
      <c r="C123" s="663"/>
      <c r="D123" s="159"/>
      <c r="E123" s="152"/>
      <c r="F123" s="152"/>
      <c r="G123" s="152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  <c r="R123" s="94"/>
      <c r="S123" s="81" t="s">
        <v>95</v>
      </c>
      <c r="T123" s="106" t="s">
        <v>96</v>
      </c>
      <c r="U123" s="93" t="s">
        <v>258</v>
      </c>
      <c r="V123" s="178">
        <f>100000*4</f>
        <v>400000</v>
      </c>
    </row>
    <row r="124" spans="1:22" ht="23.25" customHeight="1">
      <c r="A124" s="441"/>
      <c r="B124" s="488"/>
      <c r="C124" s="663"/>
      <c r="D124" s="159"/>
      <c r="E124" s="152"/>
      <c r="F124" s="152"/>
      <c r="G124" s="152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  <c r="R124" s="94"/>
      <c r="S124" s="85" t="s">
        <v>226</v>
      </c>
      <c r="T124" s="108" t="s">
        <v>224</v>
      </c>
      <c r="U124" s="88" t="s">
        <v>367</v>
      </c>
      <c r="V124" s="181">
        <f>500000*4</f>
        <v>2000000</v>
      </c>
    </row>
    <row r="125" spans="1:22" ht="23.25" customHeight="1">
      <c r="A125" s="441"/>
      <c r="B125" s="488"/>
      <c r="C125" s="490"/>
      <c r="D125" s="159"/>
      <c r="E125" s="152"/>
      <c r="F125" s="152"/>
      <c r="G125" s="152"/>
      <c r="H125" s="152"/>
      <c r="I125" s="152"/>
      <c r="J125" s="152"/>
      <c r="K125" s="152"/>
      <c r="L125" s="152"/>
      <c r="M125" s="152"/>
      <c r="N125" s="152"/>
      <c r="O125" s="152"/>
      <c r="P125" s="152"/>
      <c r="Q125" s="152"/>
      <c r="R125" s="94"/>
      <c r="S125" s="81" t="s">
        <v>220</v>
      </c>
      <c r="T125" s="106" t="s">
        <v>221</v>
      </c>
      <c r="U125" s="93" t="s">
        <v>187</v>
      </c>
      <c r="V125" s="178">
        <v>300000</v>
      </c>
    </row>
    <row r="126" spans="1:22" ht="23.25" customHeight="1">
      <c r="A126" s="441"/>
      <c r="B126" s="488"/>
      <c r="C126" s="490"/>
      <c r="D126" s="159"/>
      <c r="E126" s="152"/>
      <c r="F126" s="152"/>
      <c r="G126" s="152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  <c r="R126" s="94"/>
      <c r="S126" s="85" t="s">
        <v>97</v>
      </c>
      <c r="T126" s="109" t="s">
        <v>143</v>
      </c>
      <c r="U126" s="87" t="s">
        <v>384</v>
      </c>
      <c r="V126" s="180">
        <f>37000*2*2*40</f>
        <v>5920000</v>
      </c>
    </row>
    <row r="127" spans="1:22" ht="23.25" customHeight="1">
      <c r="A127" s="441"/>
      <c r="B127" s="417"/>
      <c r="C127" s="668"/>
      <c r="D127" s="469"/>
      <c r="E127" s="470"/>
      <c r="F127" s="470"/>
      <c r="G127" s="470"/>
      <c r="H127" s="470"/>
      <c r="I127" s="470"/>
      <c r="J127" s="470"/>
      <c r="K127" s="470"/>
      <c r="L127" s="470"/>
      <c r="M127" s="470"/>
      <c r="N127" s="470"/>
      <c r="O127" s="470"/>
      <c r="P127" s="470"/>
      <c r="Q127" s="470"/>
      <c r="R127" s="471"/>
      <c r="S127" s="211">
        <f>SUM(V126:V153)</f>
        <v>59360000</v>
      </c>
      <c r="T127" s="109"/>
      <c r="U127" s="86" t="s">
        <v>385</v>
      </c>
      <c r="V127" s="180">
        <f>7000*2*40</f>
        <v>560000</v>
      </c>
    </row>
    <row r="128" spans="1:22" ht="23.25" customHeight="1">
      <c r="A128" s="441"/>
      <c r="B128" s="417"/>
      <c r="C128" s="668"/>
      <c r="D128" s="469"/>
      <c r="E128" s="470"/>
      <c r="F128" s="470"/>
      <c r="G128" s="470"/>
      <c r="H128" s="470"/>
      <c r="I128" s="470"/>
      <c r="J128" s="470"/>
      <c r="K128" s="470"/>
      <c r="L128" s="470"/>
      <c r="M128" s="470"/>
      <c r="N128" s="470"/>
      <c r="O128" s="470"/>
      <c r="P128" s="470"/>
      <c r="Q128" s="470"/>
      <c r="R128" s="471"/>
      <c r="S128" s="211"/>
      <c r="T128" s="107" t="s">
        <v>183</v>
      </c>
      <c r="U128" s="87" t="s">
        <v>387</v>
      </c>
      <c r="V128" s="180">
        <f>24000*2*40</f>
        <v>1920000</v>
      </c>
    </row>
    <row r="129" spans="1:22" ht="23.25" customHeight="1">
      <c r="A129" s="441"/>
      <c r="B129" s="417"/>
      <c r="C129" s="668"/>
      <c r="D129" s="469"/>
      <c r="E129" s="470"/>
      <c r="F129" s="470"/>
      <c r="G129" s="470"/>
      <c r="H129" s="470"/>
      <c r="I129" s="470"/>
      <c r="J129" s="470"/>
      <c r="K129" s="470"/>
      <c r="L129" s="470"/>
      <c r="M129" s="470"/>
      <c r="N129" s="470"/>
      <c r="O129" s="470"/>
      <c r="P129" s="470"/>
      <c r="Q129" s="470"/>
      <c r="R129" s="471"/>
      <c r="S129" s="211"/>
      <c r="T129" s="107"/>
      <c r="U129" s="86" t="s">
        <v>386</v>
      </c>
      <c r="V129" s="180">
        <f>7000*1*40</f>
        <v>280000</v>
      </c>
    </row>
    <row r="130" spans="1:22" ht="23.25" customHeight="1">
      <c r="A130" s="441"/>
      <c r="B130" s="417"/>
      <c r="C130" s="417"/>
      <c r="D130" s="469"/>
      <c r="E130" s="470"/>
      <c r="F130" s="470"/>
      <c r="G130" s="470"/>
      <c r="H130" s="470"/>
      <c r="I130" s="470"/>
      <c r="J130" s="470"/>
      <c r="K130" s="470"/>
      <c r="L130" s="470"/>
      <c r="M130" s="470"/>
      <c r="N130" s="470"/>
      <c r="O130" s="470"/>
      <c r="P130" s="470"/>
      <c r="Q130" s="470"/>
      <c r="R130" s="471"/>
      <c r="S130" s="211"/>
      <c r="T130" s="109" t="s">
        <v>98</v>
      </c>
      <c r="U130" s="87" t="s">
        <v>388</v>
      </c>
      <c r="V130" s="180">
        <f>24000*2*2*40</f>
        <v>3840000</v>
      </c>
    </row>
    <row r="131" spans="1:22" ht="23.25" customHeight="1">
      <c r="A131" s="441"/>
      <c r="B131" s="417"/>
      <c r="C131" s="417"/>
      <c r="D131" s="469"/>
      <c r="E131" s="470"/>
      <c r="F131" s="470"/>
      <c r="G131" s="470"/>
      <c r="H131" s="470"/>
      <c r="I131" s="470"/>
      <c r="J131" s="470"/>
      <c r="K131" s="470"/>
      <c r="L131" s="470"/>
      <c r="M131" s="470"/>
      <c r="N131" s="470"/>
      <c r="O131" s="470"/>
      <c r="P131" s="470"/>
      <c r="Q131" s="470"/>
      <c r="R131" s="471"/>
      <c r="S131" s="211"/>
      <c r="T131" s="107"/>
      <c r="U131" s="86" t="s">
        <v>389</v>
      </c>
      <c r="V131" s="180">
        <f>7000*2*40</f>
        <v>560000</v>
      </c>
    </row>
    <row r="132" spans="1:22" ht="23.25" customHeight="1">
      <c r="A132" s="441"/>
      <c r="B132" s="417"/>
      <c r="C132" s="417"/>
      <c r="D132" s="469"/>
      <c r="E132" s="470"/>
      <c r="F132" s="470"/>
      <c r="G132" s="470"/>
      <c r="H132" s="470"/>
      <c r="I132" s="470"/>
      <c r="J132" s="470"/>
      <c r="K132" s="470"/>
      <c r="L132" s="470"/>
      <c r="M132" s="470"/>
      <c r="N132" s="470"/>
      <c r="O132" s="470"/>
      <c r="P132" s="470"/>
      <c r="Q132" s="470"/>
      <c r="R132" s="471"/>
      <c r="S132" s="85"/>
      <c r="T132" s="109" t="s">
        <v>101</v>
      </c>
      <c r="U132" s="87" t="s">
        <v>390</v>
      </c>
      <c r="V132" s="180">
        <f>30000*2*2*40</f>
        <v>4800000</v>
      </c>
    </row>
    <row r="133" spans="1:22" ht="23.25" customHeight="1">
      <c r="A133" s="441"/>
      <c r="B133" s="417"/>
      <c r="C133" s="417"/>
      <c r="D133" s="469"/>
      <c r="E133" s="470"/>
      <c r="F133" s="470"/>
      <c r="G133" s="470"/>
      <c r="H133" s="470"/>
      <c r="I133" s="470"/>
      <c r="J133" s="470"/>
      <c r="K133" s="470"/>
      <c r="L133" s="470"/>
      <c r="M133" s="470"/>
      <c r="N133" s="470"/>
      <c r="O133" s="470"/>
      <c r="P133" s="470"/>
      <c r="Q133" s="470"/>
      <c r="R133" s="471"/>
      <c r="S133" s="85"/>
      <c r="T133" s="107"/>
      <c r="U133" s="86" t="s">
        <v>389</v>
      </c>
      <c r="V133" s="180">
        <f>7000*2*40</f>
        <v>560000</v>
      </c>
    </row>
    <row r="134" spans="1:22" ht="23.25" customHeight="1">
      <c r="A134" s="441"/>
      <c r="B134" s="417"/>
      <c r="C134" s="417"/>
      <c r="D134" s="469"/>
      <c r="E134" s="470"/>
      <c r="F134" s="470"/>
      <c r="G134" s="470"/>
      <c r="H134" s="470"/>
      <c r="I134" s="470"/>
      <c r="J134" s="470"/>
      <c r="K134" s="470"/>
      <c r="L134" s="470"/>
      <c r="M134" s="470"/>
      <c r="N134" s="470"/>
      <c r="O134" s="470"/>
      <c r="P134" s="470"/>
      <c r="Q134" s="470"/>
      <c r="R134" s="471"/>
      <c r="S134" s="85"/>
      <c r="T134" s="107" t="s">
        <v>99</v>
      </c>
      <c r="U134" s="87" t="s">
        <v>391</v>
      </c>
      <c r="V134" s="180">
        <f>30000*2*40*2</f>
        <v>4800000</v>
      </c>
    </row>
    <row r="135" spans="1:22" ht="23.25" customHeight="1">
      <c r="A135" s="441"/>
      <c r="B135" s="417"/>
      <c r="C135" s="417"/>
      <c r="D135" s="469"/>
      <c r="E135" s="470"/>
      <c r="F135" s="470"/>
      <c r="G135" s="470"/>
      <c r="H135" s="470"/>
      <c r="I135" s="470"/>
      <c r="J135" s="470"/>
      <c r="K135" s="470"/>
      <c r="L135" s="470"/>
      <c r="M135" s="470"/>
      <c r="N135" s="470"/>
      <c r="O135" s="470"/>
      <c r="P135" s="470"/>
      <c r="Q135" s="470"/>
      <c r="R135" s="471"/>
      <c r="S135" s="85"/>
      <c r="T135" s="107"/>
      <c r="U135" s="87" t="s">
        <v>389</v>
      </c>
      <c r="V135" s="180">
        <f>7000*2*40</f>
        <v>560000</v>
      </c>
    </row>
    <row r="136" spans="1:22" ht="23.25" customHeight="1">
      <c r="A136" s="441"/>
      <c r="B136" s="417"/>
      <c r="C136" s="417"/>
      <c r="D136" s="469"/>
      <c r="E136" s="470"/>
      <c r="F136" s="470"/>
      <c r="G136" s="470"/>
      <c r="H136" s="470"/>
      <c r="I136" s="470"/>
      <c r="J136" s="470"/>
      <c r="K136" s="470"/>
      <c r="L136" s="470"/>
      <c r="M136" s="470"/>
      <c r="N136" s="470"/>
      <c r="O136" s="470"/>
      <c r="P136" s="470"/>
      <c r="Q136" s="470"/>
      <c r="R136" s="471"/>
      <c r="S136" s="85"/>
      <c r="T136" s="109" t="s">
        <v>100</v>
      </c>
      <c r="U136" s="87" t="s">
        <v>388</v>
      </c>
      <c r="V136" s="180">
        <f>24000*2*2*40</f>
        <v>3840000</v>
      </c>
    </row>
    <row r="137" spans="1:22" ht="23.25" customHeight="1">
      <c r="A137" s="441"/>
      <c r="B137" s="417"/>
      <c r="C137" s="417"/>
      <c r="D137" s="469"/>
      <c r="E137" s="470"/>
      <c r="F137" s="470"/>
      <c r="G137" s="470"/>
      <c r="H137" s="470"/>
      <c r="I137" s="470"/>
      <c r="J137" s="470"/>
      <c r="K137" s="470"/>
      <c r="L137" s="470"/>
      <c r="M137" s="470"/>
      <c r="N137" s="470"/>
      <c r="O137" s="470"/>
      <c r="P137" s="470"/>
      <c r="Q137" s="470"/>
      <c r="R137" s="471"/>
      <c r="S137" s="85"/>
      <c r="T137" s="107"/>
      <c r="U137" s="86" t="s">
        <v>389</v>
      </c>
      <c r="V137" s="180">
        <f>7000*2*40</f>
        <v>560000</v>
      </c>
    </row>
    <row r="138" spans="1:22" ht="23.25" customHeight="1">
      <c r="A138" s="441"/>
      <c r="B138" s="417"/>
      <c r="C138" s="417"/>
      <c r="D138" s="469"/>
      <c r="E138" s="470"/>
      <c r="F138" s="470"/>
      <c r="G138" s="470"/>
      <c r="H138" s="470"/>
      <c r="I138" s="470"/>
      <c r="J138" s="470"/>
      <c r="K138" s="470"/>
      <c r="L138" s="470"/>
      <c r="M138" s="470"/>
      <c r="N138" s="470"/>
      <c r="O138" s="470"/>
      <c r="P138" s="470"/>
      <c r="Q138" s="470"/>
      <c r="R138" s="471"/>
      <c r="S138" s="85"/>
      <c r="T138" s="107" t="s">
        <v>165</v>
      </c>
      <c r="U138" s="87" t="s">
        <v>388</v>
      </c>
      <c r="V138" s="180">
        <f>24000*2*2*40</f>
        <v>3840000</v>
      </c>
    </row>
    <row r="139" spans="1:22" ht="23.25" customHeight="1">
      <c r="A139" s="441"/>
      <c r="B139" s="417"/>
      <c r="C139" s="417"/>
      <c r="D139" s="469"/>
      <c r="E139" s="470"/>
      <c r="F139" s="470"/>
      <c r="G139" s="470"/>
      <c r="H139" s="470"/>
      <c r="I139" s="470"/>
      <c r="J139" s="470"/>
      <c r="K139" s="470"/>
      <c r="L139" s="470"/>
      <c r="M139" s="470"/>
      <c r="N139" s="470"/>
      <c r="O139" s="470"/>
      <c r="P139" s="470"/>
      <c r="Q139" s="470"/>
      <c r="R139" s="471"/>
      <c r="S139" s="85"/>
      <c r="T139" s="107"/>
      <c r="U139" s="86" t="s">
        <v>389</v>
      </c>
      <c r="V139" s="180">
        <f>7000*2*40</f>
        <v>560000</v>
      </c>
    </row>
    <row r="140" spans="1:22" ht="23.25" customHeight="1">
      <c r="A140" s="441"/>
      <c r="B140" s="417"/>
      <c r="C140" s="417"/>
      <c r="D140" s="469"/>
      <c r="E140" s="470"/>
      <c r="F140" s="470"/>
      <c r="G140" s="470"/>
      <c r="H140" s="470"/>
      <c r="I140" s="470"/>
      <c r="J140" s="470"/>
      <c r="K140" s="470"/>
      <c r="L140" s="470"/>
      <c r="M140" s="470"/>
      <c r="N140" s="470"/>
      <c r="O140" s="470"/>
      <c r="P140" s="470"/>
      <c r="Q140" s="470"/>
      <c r="R140" s="471"/>
      <c r="S140" s="85"/>
      <c r="T140" s="109" t="s">
        <v>102</v>
      </c>
      <c r="U140" s="87" t="s">
        <v>392</v>
      </c>
      <c r="V140" s="180">
        <f>24000*2*40</f>
        <v>1920000</v>
      </c>
    </row>
    <row r="141" spans="1:22" ht="23.25" customHeight="1">
      <c r="A141" s="441"/>
      <c r="B141" s="417"/>
      <c r="C141" s="417"/>
      <c r="D141" s="469"/>
      <c r="E141" s="470"/>
      <c r="F141" s="470"/>
      <c r="G141" s="470"/>
      <c r="H141" s="470"/>
      <c r="I141" s="470"/>
      <c r="J141" s="470"/>
      <c r="K141" s="470"/>
      <c r="L141" s="470"/>
      <c r="M141" s="470"/>
      <c r="N141" s="470"/>
      <c r="O141" s="470"/>
      <c r="P141" s="470"/>
      <c r="Q141" s="470"/>
      <c r="R141" s="471"/>
      <c r="S141" s="85"/>
      <c r="T141" s="107"/>
      <c r="U141" s="86" t="s">
        <v>393</v>
      </c>
      <c r="V141" s="180">
        <f>7000*1*40</f>
        <v>280000</v>
      </c>
    </row>
    <row r="142" spans="1:22" ht="23.25" customHeight="1">
      <c r="A142" s="441"/>
      <c r="B142" s="417"/>
      <c r="C142" s="417"/>
      <c r="D142" s="469"/>
      <c r="E142" s="470"/>
      <c r="F142" s="470"/>
      <c r="G142" s="470"/>
      <c r="H142" s="470"/>
      <c r="I142" s="470"/>
      <c r="J142" s="470"/>
      <c r="K142" s="470"/>
      <c r="L142" s="470"/>
      <c r="M142" s="470"/>
      <c r="N142" s="470"/>
      <c r="O142" s="470"/>
      <c r="P142" s="470"/>
      <c r="Q142" s="470"/>
      <c r="R142" s="471"/>
      <c r="S142" s="85"/>
      <c r="T142" s="107" t="s">
        <v>103</v>
      </c>
      <c r="U142" s="87" t="s">
        <v>394</v>
      </c>
      <c r="V142" s="180">
        <f>38000*2*40</f>
        <v>3040000</v>
      </c>
    </row>
    <row r="143" spans="1:22" ht="23.25" customHeight="1">
      <c r="A143" s="441"/>
      <c r="B143" s="417"/>
      <c r="C143" s="417"/>
      <c r="D143" s="469"/>
      <c r="E143" s="470"/>
      <c r="F143" s="470"/>
      <c r="G143" s="470"/>
      <c r="H143" s="470"/>
      <c r="I143" s="470"/>
      <c r="J143" s="470"/>
      <c r="K143" s="470"/>
      <c r="L143" s="470"/>
      <c r="M143" s="470"/>
      <c r="N143" s="470"/>
      <c r="O143" s="470"/>
      <c r="P143" s="470"/>
      <c r="Q143" s="470"/>
      <c r="R143" s="471"/>
      <c r="S143" s="211"/>
      <c r="T143" s="107"/>
      <c r="U143" s="86" t="s">
        <v>395</v>
      </c>
      <c r="V143" s="180">
        <f>7000*1*40</f>
        <v>280000</v>
      </c>
    </row>
    <row r="144" spans="1:22" ht="23.25" customHeight="1">
      <c r="A144" s="441"/>
      <c r="B144" s="417"/>
      <c r="C144" s="417"/>
      <c r="D144" s="469"/>
      <c r="E144" s="470"/>
      <c r="F144" s="470"/>
      <c r="G144" s="470"/>
      <c r="H144" s="470"/>
      <c r="I144" s="470"/>
      <c r="J144" s="470"/>
      <c r="K144" s="470"/>
      <c r="L144" s="470"/>
      <c r="M144" s="470"/>
      <c r="N144" s="470"/>
      <c r="O144" s="470"/>
      <c r="P144" s="470"/>
      <c r="Q144" s="470"/>
      <c r="R144" s="471"/>
      <c r="S144" s="211"/>
      <c r="T144" s="107" t="s">
        <v>259</v>
      </c>
      <c r="U144" s="87" t="s">
        <v>396</v>
      </c>
      <c r="V144" s="180">
        <f>24000*2*40*2</f>
        <v>3840000</v>
      </c>
    </row>
    <row r="145" spans="1:22" ht="23.25" customHeight="1">
      <c r="A145" s="441"/>
      <c r="B145" s="417"/>
      <c r="C145" s="417"/>
      <c r="D145" s="469"/>
      <c r="E145" s="470"/>
      <c r="F145" s="470"/>
      <c r="G145" s="470"/>
      <c r="H145" s="470"/>
      <c r="I145" s="470"/>
      <c r="J145" s="470"/>
      <c r="K145" s="470"/>
      <c r="L145" s="470"/>
      <c r="M145" s="470"/>
      <c r="N145" s="470"/>
      <c r="O145" s="470"/>
      <c r="P145" s="470"/>
      <c r="Q145" s="470"/>
      <c r="R145" s="471"/>
      <c r="S145" s="211"/>
      <c r="T145" s="107"/>
      <c r="U145" s="86" t="s">
        <v>385</v>
      </c>
      <c r="V145" s="180">
        <f>7000*40*2</f>
        <v>560000</v>
      </c>
    </row>
    <row r="146" spans="1:22" ht="23.25" customHeight="1">
      <c r="A146" s="441"/>
      <c r="B146" s="417"/>
      <c r="C146" s="417"/>
      <c r="D146" s="469"/>
      <c r="E146" s="470"/>
      <c r="F146" s="470"/>
      <c r="G146" s="470"/>
      <c r="H146" s="470"/>
      <c r="I146" s="470"/>
      <c r="J146" s="470"/>
      <c r="K146" s="470"/>
      <c r="L146" s="470"/>
      <c r="M146" s="470"/>
      <c r="N146" s="470"/>
      <c r="O146" s="470"/>
      <c r="P146" s="470"/>
      <c r="Q146" s="470"/>
      <c r="R146" s="471"/>
      <c r="S146" s="211"/>
      <c r="T146" s="107" t="s">
        <v>269</v>
      </c>
      <c r="U146" s="87" t="s">
        <v>396</v>
      </c>
      <c r="V146" s="180">
        <f>24000*2*40*2</f>
        <v>3840000</v>
      </c>
    </row>
    <row r="147" spans="1:22" ht="23.25" customHeight="1">
      <c r="A147" s="441"/>
      <c r="B147" s="417"/>
      <c r="C147" s="417"/>
      <c r="D147" s="469"/>
      <c r="E147" s="470"/>
      <c r="F147" s="470"/>
      <c r="G147" s="470"/>
      <c r="H147" s="470"/>
      <c r="I147" s="470"/>
      <c r="J147" s="470"/>
      <c r="K147" s="470"/>
      <c r="L147" s="470"/>
      <c r="M147" s="470"/>
      <c r="N147" s="470"/>
      <c r="O147" s="470"/>
      <c r="P147" s="470"/>
      <c r="Q147" s="470"/>
      <c r="R147" s="471"/>
      <c r="S147" s="211"/>
      <c r="T147" s="107"/>
      <c r="U147" s="86" t="s">
        <v>385</v>
      </c>
      <c r="V147" s="180">
        <f>7000*40*2</f>
        <v>560000</v>
      </c>
    </row>
    <row r="148" spans="1:22" ht="23.25" customHeight="1">
      <c r="A148" s="441"/>
      <c r="B148" s="417"/>
      <c r="C148" s="417"/>
      <c r="D148" s="469"/>
      <c r="E148" s="470"/>
      <c r="F148" s="470"/>
      <c r="G148" s="470"/>
      <c r="H148" s="470"/>
      <c r="I148" s="470"/>
      <c r="J148" s="470"/>
      <c r="K148" s="470"/>
      <c r="L148" s="470"/>
      <c r="M148" s="470"/>
      <c r="N148" s="470"/>
      <c r="O148" s="470"/>
      <c r="P148" s="470"/>
      <c r="Q148" s="470"/>
      <c r="R148" s="471"/>
      <c r="S148" s="211"/>
      <c r="T148" s="107" t="s">
        <v>278</v>
      </c>
      <c r="U148" s="87" t="s">
        <v>397</v>
      </c>
      <c r="V148" s="180">
        <f>24000*2*2*40*1</f>
        <v>3840000</v>
      </c>
    </row>
    <row r="149" spans="1:22" ht="23.25" customHeight="1">
      <c r="A149" s="441"/>
      <c r="B149" s="417"/>
      <c r="C149" s="417"/>
      <c r="D149" s="469"/>
      <c r="E149" s="470"/>
      <c r="F149" s="470"/>
      <c r="G149" s="470"/>
      <c r="H149" s="470"/>
      <c r="I149" s="470"/>
      <c r="J149" s="470"/>
      <c r="K149" s="470"/>
      <c r="L149" s="470"/>
      <c r="M149" s="470"/>
      <c r="N149" s="470"/>
      <c r="O149" s="470"/>
      <c r="P149" s="470"/>
      <c r="Q149" s="470"/>
      <c r="R149" s="471"/>
      <c r="S149" s="211"/>
      <c r="T149" s="107"/>
      <c r="U149" s="86" t="s">
        <v>389</v>
      </c>
      <c r="V149" s="180">
        <f>7000*40*2</f>
        <v>560000</v>
      </c>
    </row>
    <row r="150" spans="1:22" ht="23.25" customHeight="1">
      <c r="A150" s="441"/>
      <c r="B150" s="417"/>
      <c r="C150" s="417"/>
      <c r="D150" s="469"/>
      <c r="E150" s="470"/>
      <c r="F150" s="470"/>
      <c r="G150" s="470"/>
      <c r="H150" s="470"/>
      <c r="I150" s="470"/>
      <c r="J150" s="470"/>
      <c r="K150" s="470"/>
      <c r="L150" s="470"/>
      <c r="M150" s="470"/>
      <c r="N150" s="470"/>
      <c r="O150" s="470"/>
      <c r="P150" s="470"/>
      <c r="Q150" s="470"/>
      <c r="R150" s="471"/>
      <c r="S150" s="211"/>
      <c r="T150" s="107" t="s">
        <v>369</v>
      </c>
      <c r="U150" s="87" t="s">
        <v>390</v>
      </c>
      <c r="V150" s="180">
        <f>30000*2*2*40*1</f>
        <v>4800000</v>
      </c>
    </row>
    <row r="151" spans="1:22" ht="23.25" customHeight="1">
      <c r="A151" s="441"/>
      <c r="B151" s="417"/>
      <c r="C151" s="417"/>
      <c r="D151" s="469"/>
      <c r="E151" s="470"/>
      <c r="F151" s="470"/>
      <c r="G151" s="470"/>
      <c r="H151" s="470"/>
      <c r="I151" s="470"/>
      <c r="J151" s="470"/>
      <c r="K151" s="470"/>
      <c r="L151" s="470"/>
      <c r="M151" s="470"/>
      <c r="N151" s="470"/>
      <c r="O151" s="470"/>
      <c r="P151" s="470"/>
      <c r="Q151" s="470"/>
      <c r="R151" s="471"/>
      <c r="S151" s="211"/>
      <c r="T151" s="107"/>
      <c r="U151" s="86" t="s">
        <v>389</v>
      </c>
      <c r="V151" s="180">
        <f>7000*40*2</f>
        <v>560000</v>
      </c>
    </row>
    <row r="152" spans="1:22" ht="23.25" customHeight="1">
      <c r="A152" s="441"/>
      <c r="B152" s="417"/>
      <c r="C152" s="417"/>
      <c r="D152" s="469"/>
      <c r="E152" s="470"/>
      <c r="F152" s="470"/>
      <c r="G152" s="470"/>
      <c r="H152" s="470"/>
      <c r="I152" s="470"/>
      <c r="J152" s="470"/>
      <c r="K152" s="470"/>
      <c r="L152" s="470"/>
      <c r="M152" s="470"/>
      <c r="N152" s="470"/>
      <c r="O152" s="470"/>
      <c r="P152" s="470"/>
      <c r="Q152" s="470"/>
      <c r="R152" s="471"/>
      <c r="S152" s="211"/>
      <c r="T152" s="107" t="s">
        <v>279</v>
      </c>
      <c r="U152" s="87" t="s">
        <v>398</v>
      </c>
      <c r="V152" s="180">
        <f>30000*2*40*1</f>
        <v>2400000</v>
      </c>
    </row>
    <row r="153" spans="1:22" ht="23.25" customHeight="1">
      <c r="A153" s="441"/>
      <c r="B153" s="417"/>
      <c r="C153" s="423"/>
      <c r="D153" s="475"/>
      <c r="E153" s="476"/>
      <c r="F153" s="476"/>
      <c r="G153" s="476"/>
      <c r="H153" s="476"/>
      <c r="I153" s="476"/>
      <c r="J153" s="476"/>
      <c r="K153" s="476"/>
      <c r="L153" s="476"/>
      <c r="M153" s="494"/>
      <c r="N153" s="494"/>
      <c r="O153" s="494"/>
      <c r="P153" s="494"/>
      <c r="Q153" s="494"/>
      <c r="R153" s="477"/>
      <c r="S153" s="293"/>
      <c r="T153" s="108"/>
      <c r="U153" s="90" t="s">
        <v>393</v>
      </c>
      <c r="V153" s="181">
        <f>7000*40*1</f>
        <v>280000</v>
      </c>
    </row>
    <row r="154" spans="1:22" ht="23.25" customHeight="1">
      <c r="A154" s="441"/>
      <c r="B154" s="417"/>
      <c r="C154" s="650" t="s">
        <v>479</v>
      </c>
      <c r="D154" s="469"/>
      <c r="E154" s="470"/>
      <c r="F154" s="470"/>
      <c r="G154" s="470"/>
      <c r="H154" s="470"/>
      <c r="I154" s="473">
        <v>880193000</v>
      </c>
      <c r="J154" s="473">
        <v>1295600000</v>
      </c>
      <c r="K154" s="473">
        <v>1300711000</v>
      </c>
      <c r="L154" s="473">
        <v>1300711000</v>
      </c>
      <c r="M154" s="470">
        <v>2051000000</v>
      </c>
      <c r="N154" s="470">
        <v>2057374000</v>
      </c>
      <c r="O154" s="470">
        <v>2057374000</v>
      </c>
      <c r="P154" s="470">
        <v>2057374000</v>
      </c>
      <c r="Q154" s="470">
        <f>SUM(V154:V158)</f>
        <v>2052300000</v>
      </c>
      <c r="R154" s="471">
        <f>Q154-P154</f>
        <v>-5074000</v>
      </c>
      <c r="S154" s="211" t="s">
        <v>480</v>
      </c>
      <c r="T154" s="107"/>
      <c r="U154" s="99" t="s">
        <v>481</v>
      </c>
      <c r="V154" s="180">
        <f>270000*630*11</f>
        <v>1871100000</v>
      </c>
    </row>
    <row r="155" spans="1:22" ht="23.25" customHeight="1">
      <c r="A155" s="441"/>
      <c r="B155" s="417"/>
      <c r="C155" s="650"/>
      <c r="D155" s="469"/>
      <c r="E155" s="470"/>
      <c r="F155" s="470"/>
      <c r="G155" s="470"/>
      <c r="H155" s="470"/>
      <c r="I155" s="473"/>
      <c r="J155" s="473"/>
      <c r="K155" s="473"/>
      <c r="L155" s="473"/>
      <c r="M155" s="470"/>
      <c r="N155" s="470"/>
      <c r="O155" s="470"/>
      <c r="P155" s="470"/>
      <c r="Q155" s="470"/>
      <c r="R155" s="471"/>
      <c r="S155" s="293" t="s">
        <v>482</v>
      </c>
      <c r="T155" s="108"/>
      <c r="U155" s="440" t="s">
        <v>483</v>
      </c>
      <c r="V155" s="181">
        <f>180000*630</f>
        <v>113400000</v>
      </c>
    </row>
    <row r="156" spans="1:22" ht="23.25" customHeight="1">
      <c r="A156" s="441"/>
      <c r="B156" s="417"/>
      <c r="C156" s="650"/>
      <c r="D156" s="469"/>
      <c r="E156" s="470"/>
      <c r="F156" s="470"/>
      <c r="G156" s="470"/>
      <c r="H156" s="470"/>
      <c r="I156" s="473"/>
      <c r="J156" s="473"/>
      <c r="K156" s="473"/>
      <c r="L156" s="473"/>
      <c r="M156" s="470"/>
      <c r="N156" s="470"/>
      <c r="O156" s="470"/>
      <c r="P156" s="470"/>
      <c r="Q156" s="470"/>
      <c r="R156" s="471"/>
      <c r="S156" s="211" t="s">
        <v>484</v>
      </c>
      <c r="T156" s="107"/>
      <c r="U156" s="99" t="s">
        <v>485</v>
      </c>
      <c r="V156" s="180">
        <f>180000*20*10</f>
        <v>36000000</v>
      </c>
    </row>
    <row r="157" spans="1:22" ht="23.25" customHeight="1">
      <c r="A157" s="441"/>
      <c r="B157" s="417"/>
      <c r="C157" s="650"/>
      <c r="D157" s="469"/>
      <c r="E157" s="470"/>
      <c r="F157" s="470"/>
      <c r="G157" s="470"/>
      <c r="H157" s="470"/>
      <c r="I157" s="473"/>
      <c r="J157" s="473"/>
      <c r="K157" s="473"/>
      <c r="L157" s="473"/>
      <c r="M157" s="470"/>
      <c r="N157" s="470"/>
      <c r="O157" s="470"/>
      <c r="P157" s="470"/>
      <c r="Q157" s="470"/>
      <c r="R157" s="471"/>
      <c r="S157" s="293" t="s">
        <v>486</v>
      </c>
      <c r="T157" s="108"/>
      <c r="U157" s="440" t="s">
        <v>560</v>
      </c>
      <c r="V157" s="181">
        <f>16800000*1</f>
        <v>16800000</v>
      </c>
    </row>
    <row r="158" spans="1:22" ht="23.25" customHeight="1">
      <c r="A158" s="441"/>
      <c r="B158" s="417"/>
      <c r="C158" s="423"/>
      <c r="D158" s="475"/>
      <c r="E158" s="476"/>
      <c r="F158" s="476"/>
      <c r="G158" s="476"/>
      <c r="H158" s="476"/>
      <c r="I158" s="494"/>
      <c r="J158" s="494"/>
      <c r="K158" s="494"/>
      <c r="L158" s="494"/>
      <c r="M158" s="476"/>
      <c r="N158" s="476"/>
      <c r="O158" s="476"/>
      <c r="P158" s="476"/>
      <c r="Q158" s="476"/>
      <c r="R158" s="477"/>
      <c r="S158" s="293" t="s">
        <v>487</v>
      </c>
      <c r="T158" s="108"/>
      <c r="U158" s="440" t="s">
        <v>564</v>
      </c>
      <c r="V158" s="181">
        <f>15000000*1</f>
        <v>15000000</v>
      </c>
    </row>
    <row r="159" spans="1:22" ht="23.25" customHeight="1">
      <c r="A159" s="441"/>
      <c r="B159" s="417"/>
      <c r="C159" s="650" t="s">
        <v>272</v>
      </c>
      <c r="D159" s="469"/>
      <c r="E159" s="470"/>
      <c r="F159" s="470"/>
      <c r="G159" s="470"/>
      <c r="H159" s="470"/>
      <c r="I159" s="669">
        <v>2000000</v>
      </c>
      <c r="J159" s="669">
        <v>500000</v>
      </c>
      <c r="K159" s="670">
        <v>6000000</v>
      </c>
      <c r="L159" s="670">
        <v>6000000</v>
      </c>
      <c r="M159" s="670">
        <v>8300000</v>
      </c>
      <c r="N159" s="670">
        <v>9500000</v>
      </c>
      <c r="O159" s="670">
        <v>4000000</v>
      </c>
      <c r="P159" s="670">
        <v>13100000</v>
      </c>
      <c r="Q159" s="670">
        <f>SUM(V159:V160)</f>
        <v>1000000</v>
      </c>
      <c r="R159" s="671">
        <f>Q159-P159</f>
        <v>-12100000</v>
      </c>
      <c r="S159" s="211" t="s">
        <v>255</v>
      </c>
      <c r="T159" s="107" t="s">
        <v>271</v>
      </c>
      <c r="U159" s="86" t="s">
        <v>399</v>
      </c>
      <c r="V159" s="180">
        <f>700000*1</f>
        <v>700000</v>
      </c>
    </row>
    <row r="160" spans="1:22" ht="23.25" customHeight="1">
      <c r="A160" s="441"/>
      <c r="B160" s="417"/>
      <c r="C160" s="650"/>
      <c r="D160" s="475"/>
      <c r="E160" s="476"/>
      <c r="F160" s="476"/>
      <c r="G160" s="476"/>
      <c r="H160" s="476"/>
      <c r="I160" s="669"/>
      <c r="J160" s="669"/>
      <c r="K160" s="670"/>
      <c r="L160" s="670"/>
      <c r="M160" s="670"/>
      <c r="N160" s="670"/>
      <c r="O160" s="670"/>
      <c r="P160" s="670"/>
      <c r="Q160" s="670"/>
      <c r="R160" s="672"/>
      <c r="S160" s="293">
        <f>SUM(V159:V160)</f>
        <v>1000000</v>
      </c>
      <c r="T160" s="108" t="s">
        <v>400</v>
      </c>
      <c r="U160" s="90" t="s">
        <v>401</v>
      </c>
      <c r="V160" s="181">
        <f>75000*4</f>
        <v>300000</v>
      </c>
    </row>
    <row r="161" spans="1:22" ht="23.25" customHeight="1">
      <c r="A161" s="441"/>
      <c r="B161" s="417"/>
      <c r="C161" s="649" t="s">
        <v>104</v>
      </c>
      <c r="D161" s="157">
        <v>48601000</v>
      </c>
      <c r="E161" s="150">
        <v>46296000</v>
      </c>
      <c r="F161" s="150">
        <v>35922000</v>
      </c>
      <c r="G161" s="150">
        <v>48601000</v>
      </c>
      <c r="H161" s="150">
        <v>33613000</v>
      </c>
      <c r="I161" s="150">
        <v>39609000</v>
      </c>
      <c r="J161" s="150">
        <v>36869000</v>
      </c>
      <c r="K161" s="150">
        <v>42243000</v>
      </c>
      <c r="L161" s="150">
        <v>91563000</v>
      </c>
      <c r="M161" s="150">
        <v>91876000</v>
      </c>
      <c r="N161" s="150">
        <v>97556000</v>
      </c>
      <c r="O161" s="150">
        <v>88332000</v>
      </c>
      <c r="P161" s="150">
        <v>88175000</v>
      </c>
      <c r="Q161" s="150">
        <f>SUM(V161:V172)</f>
        <v>97686000</v>
      </c>
      <c r="R161" s="91">
        <f>Q161-P161</f>
        <v>9511000</v>
      </c>
      <c r="S161" s="85" t="s">
        <v>105</v>
      </c>
      <c r="T161" s="102" t="s">
        <v>106</v>
      </c>
      <c r="U161" s="86" t="s">
        <v>375</v>
      </c>
      <c r="V161" s="182">
        <f>ROUNDUP(1600*65*242,-3)</f>
        <v>25168000</v>
      </c>
    </row>
    <row r="162" spans="1:22" ht="23.25" customHeight="1">
      <c r="A162" s="441"/>
      <c r="B162" s="417"/>
      <c r="C162" s="650"/>
      <c r="D162" s="159"/>
      <c r="E162" s="152"/>
      <c r="F162" s="152"/>
      <c r="G162" s="152"/>
      <c r="H162" s="152"/>
      <c r="I162" s="152"/>
      <c r="J162" s="152"/>
      <c r="K162" s="152"/>
      <c r="L162" s="152"/>
      <c r="M162" s="152"/>
      <c r="N162" s="152"/>
      <c r="O162" s="152"/>
      <c r="P162" s="152"/>
      <c r="Q162" s="152"/>
      <c r="R162" s="94"/>
      <c r="S162" s="85">
        <f>SUM(V161:V170)</f>
        <v>43268000</v>
      </c>
      <c r="T162" s="102"/>
      <c r="U162" s="86" t="s">
        <v>164</v>
      </c>
      <c r="V162" s="182">
        <f>500000*12</f>
        <v>6000000</v>
      </c>
    </row>
    <row r="163" spans="1:22" ht="23.25" customHeight="1">
      <c r="A163" s="441"/>
      <c r="B163" s="417"/>
      <c r="C163" s="488"/>
      <c r="D163" s="159"/>
      <c r="E163" s="152"/>
      <c r="F163" s="152"/>
      <c r="G163" s="152"/>
      <c r="H163" s="152"/>
      <c r="I163" s="152"/>
      <c r="J163" s="152"/>
      <c r="K163" s="152"/>
      <c r="L163" s="152"/>
      <c r="M163" s="152"/>
      <c r="N163" s="152"/>
      <c r="O163" s="152"/>
      <c r="P163" s="152"/>
      <c r="Q163" s="152"/>
      <c r="R163" s="94"/>
      <c r="S163" s="85"/>
      <c r="T163" s="102" t="s">
        <v>116</v>
      </c>
      <c r="U163" s="86" t="s">
        <v>379</v>
      </c>
      <c r="V163" s="182">
        <f>2500000*1</f>
        <v>2500000</v>
      </c>
    </row>
    <row r="164" spans="1:22" ht="23.25" customHeight="1">
      <c r="A164" s="441"/>
      <c r="B164" s="417"/>
      <c r="C164" s="488"/>
      <c r="D164" s="159"/>
      <c r="E164" s="152"/>
      <c r="F164" s="152"/>
      <c r="G164" s="152"/>
      <c r="H164" s="152"/>
      <c r="I164" s="152"/>
      <c r="J164" s="152"/>
      <c r="K164" s="152"/>
      <c r="L164" s="152"/>
      <c r="M164" s="152"/>
      <c r="N164" s="152"/>
      <c r="O164" s="152"/>
      <c r="P164" s="152"/>
      <c r="Q164" s="152"/>
      <c r="R164" s="94"/>
      <c r="S164" s="85"/>
      <c r="T164" s="102"/>
      <c r="U164" s="86" t="s">
        <v>376</v>
      </c>
      <c r="V164" s="182">
        <f>250000*12</f>
        <v>3000000</v>
      </c>
    </row>
    <row r="165" spans="1:22" ht="23.25" customHeight="1">
      <c r="A165" s="441"/>
      <c r="B165" s="417"/>
      <c r="C165" s="488"/>
      <c r="D165" s="159"/>
      <c r="E165" s="152"/>
      <c r="F165" s="152"/>
      <c r="G165" s="152"/>
      <c r="H165" s="152"/>
      <c r="I165" s="152"/>
      <c r="J165" s="152"/>
      <c r="K165" s="152"/>
      <c r="L165" s="152"/>
      <c r="M165" s="152"/>
      <c r="N165" s="152"/>
      <c r="O165" s="152"/>
      <c r="P165" s="152"/>
      <c r="Q165" s="152"/>
      <c r="R165" s="94"/>
      <c r="S165" s="85"/>
      <c r="T165" s="102"/>
      <c r="U165" s="86" t="s">
        <v>377</v>
      </c>
      <c r="V165" s="182">
        <f>1000000*1</f>
        <v>1000000</v>
      </c>
    </row>
    <row r="166" spans="1:22" ht="23.25" customHeight="1">
      <c r="A166" s="441"/>
      <c r="B166" s="417"/>
      <c r="C166" s="488"/>
      <c r="D166" s="159"/>
      <c r="E166" s="152"/>
      <c r="F166" s="152"/>
      <c r="G166" s="152"/>
      <c r="H166" s="152"/>
      <c r="I166" s="152"/>
      <c r="J166" s="152"/>
      <c r="K166" s="152"/>
      <c r="L166" s="152"/>
      <c r="M166" s="152"/>
      <c r="N166" s="152"/>
      <c r="O166" s="152"/>
      <c r="P166" s="152"/>
      <c r="Q166" s="152"/>
      <c r="R166" s="94"/>
      <c r="S166" s="85"/>
      <c r="T166" s="102"/>
      <c r="U166" s="86" t="s">
        <v>256</v>
      </c>
      <c r="V166" s="182">
        <v>4000000</v>
      </c>
    </row>
    <row r="167" spans="1:22" ht="23.25" customHeight="1">
      <c r="A167" s="441"/>
      <c r="B167" s="417"/>
      <c r="C167" s="488"/>
      <c r="D167" s="159"/>
      <c r="E167" s="152"/>
      <c r="F167" s="152"/>
      <c r="G167" s="152"/>
      <c r="H167" s="152"/>
      <c r="I167" s="152"/>
      <c r="J167" s="152"/>
      <c r="K167" s="152"/>
      <c r="L167" s="152"/>
      <c r="M167" s="152"/>
      <c r="N167" s="152"/>
      <c r="O167" s="152"/>
      <c r="P167" s="152"/>
      <c r="Q167" s="152"/>
      <c r="R167" s="94"/>
      <c r="S167" s="85"/>
      <c r="T167" s="102" t="s">
        <v>107</v>
      </c>
      <c r="U167" s="86" t="s">
        <v>141</v>
      </c>
      <c r="V167" s="182">
        <f>50000*1</f>
        <v>50000</v>
      </c>
    </row>
    <row r="168" spans="1:22" ht="23.25" customHeight="1">
      <c r="A168" s="441"/>
      <c r="B168" s="417"/>
      <c r="C168" s="488"/>
      <c r="D168" s="159"/>
      <c r="E168" s="152"/>
      <c r="F168" s="152"/>
      <c r="G168" s="152"/>
      <c r="H168" s="152"/>
      <c r="I168" s="152"/>
      <c r="J168" s="152"/>
      <c r="K168" s="152"/>
      <c r="L168" s="152"/>
      <c r="M168" s="152"/>
      <c r="N168" s="152"/>
      <c r="O168" s="152"/>
      <c r="P168" s="152"/>
      <c r="Q168" s="152"/>
      <c r="R168" s="94"/>
      <c r="S168" s="85"/>
      <c r="T168" s="102"/>
      <c r="U168" s="86" t="s">
        <v>142</v>
      </c>
      <c r="V168" s="182">
        <f>50000*1</f>
        <v>50000</v>
      </c>
    </row>
    <row r="169" spans="1:22" ht="23.25" customHeight="1">
      <c r="A169" s="441"/>
      <c r="B169" s="417"/>
      <c r="C169" s="488"/>
      <c r="D169" s="159"/>
      <c r="E169" s="152"/>
      <c r="F169" s="152"/>
      <c r="G169" s="152"/>
      <c r="H169" s="152"/>
      <c r="I169" s="152"/>
      <c r="J169" s="152"/>
      <c r="K169" s="152"/>
      <c r="L169" s="152"/>
      <c r="M169" s="152"/>
      <c r="N169" s="152"/>
      <c r="O169" s="152"/>
      <c r="P169" s="152"/>
      <c r="Q169" s="152"/>
      <c r="R169" s="94"/>
      <c r="S169" s="85"/>
      <c r="T169" s="102" t="s">
        <v>402</v>
      </c>
      <c r="U169" s="86" t="s">
        <v>403</v>
      </c>
      <c r="V169" s="182">
        <v>500000</v>
      </c>
    </row>
    <row r="170" spans="1:22" ht="23.25" customHeight="1">
      <c r="A170" s="441"/>
      <c r="B170" s="417"/>
      <c r="C170" s="488"/>
      <c r="D170" s="159"/>
      <c r="E170" s="152"/>
      <c r="F170" s="152"/>
      <c r="G170" s="152"/>
      <c r="H170" s="152"/>
      <c r="I170" s="152"/>
      <c r="J170" s="152"/>
      <c r="K170" s="152"/>
      <c r="L170" s="152"/>
      <c r="M170" s="152"/>
      <c r="N170" s="152"/>
      <c r="O170" s="152"/>
      <c r="P170" s="152"/>
      <c r="Q170" s="152"/>
      <c r="R170" s="94"/>
      <c r="S170" s="85"/>
      <c r="T170" s="102" t="s">
        <v>404</v>
      </c>
      <c r="U170" s="86" t="s">
        <v>240</v>
      </c>
      <c r="V170" s="182">
        <f>1000000*1</f>
        <v>1000000</v>
      </c>
    </row>
    <row r="171" spans="1:22" ht="23.25" customHeight="1">
      <c r="A171" s="441"/>
      <c r="B171" s="417"/>
      <c r="C171" s="488"/>
      <c r="D171" s="159"/>
      <c r="E171" s="152"/>
      <c r="F171" s="152"/>
      <c r="G171" s="152"/>
      <c r="H171" s="152"/>
      <c r="I171" s="152"/>
      <c r="J171" s="152"/>
      <c r="K171" s="152"/>
      <c r="L171" s="152"/>
      <c r="M171" s="152"/>
      <c r="N171" s="152"/>
      <c r="O171" s="152"/>
      <c r="P171" s="152"/>
      <c r="Q171" s="152"/>
      <c r="R171" s="94"/>
      <c r="S171" s="81" t="s">
        <v>488</v>
      </c>
      <c r="T171" s="532"/>
      <c r="U171" s="557" t="s">
        <v>559</v>
      </c>
      <c r="V171" s="558">
        <f>2500*242*65</f>
        <v>39325000</v>
      </c>
    </row>
    <row r="172" spans="1:22" ht="22.5" customHeight="1">
      <c r="A172" s="441"/>
      <c r="B172" s="417"/>
      <c r="C172" s="488"/>
      <c r="D172" s="159"/>
      <c r="E172" s="152"/>
      <c r="F172" s="152"/>
      <c r="G172" s="152"/>
      <c r="H172" s="152"/>
      <c r="I172" s="152"/>
      <c r="J172" s="152"/>
      <c r="K172" s="152"/>
      <c r="L172" s="152"/>
      <c r="M172" s="152"/>
      <c r="N172" s="152"/>
      <c r="O172" s="152"/>
      <c r="P172" s="152"/>
      <c r="Q172" s="152"/>
      <c r="R172" s="94"/>
      <c r="S172" s="85" t="s">
        <v>489</v>
      </c>
      <c r="T172" s="472"/>
      <c r="U172" s="559" t="s">
        <v>490</v>
      </c>
      <c r="V172" s="560">
        <f>15093000</f>
        <v>15093000</v>
      </c>
    </row>
    <row r="173" spans="1:22" ht="22.5" customHeight="1">
      <c r="A173" s="441"/>
      <c r="B173" s="417"/>
      <c r="C173" s="649" t="s">
        <v>51</v>
      </c>
      <c r="D173" s="157">
        <v>1400000</v>
      </c>
      <c r="E173" s="150">
        <v>1400000</v>
      </c>
      <c r="F173" s="150">
        <v>1400000</v>
      </c>
      <c r="G173" s="150">
        <v>1400000</v>
      </c>
      <c r="H173" s="150">
        <v>1400000</v>
      </c>
      <c r="I173" s="150">
        <v>1400000</v>
      </c>
      <c r="J173" s="150">
        <v>1200000</v>
      </c>
      <c r="K173" s="150">
        <v>1200000</v>
      </c>
      <c r="L173" s="150">
        <v>1200000</v>
      </c>
      <c r="M173" s="150">
        <v>1200000</v>
      </c>
      <c r="N173" s="150">
        <v>1200000</v>
      </c>
      <c r="O173" s="150">
        <v>1200000</v>
      </c>
      <c r="P173" s="150">
        <v>1200000</v>
      </c>
      <c r="Q173" s="150">
        <f>SUM(V173:V174)</f>
        <v>1200000</v>
      </c>
      <c r="R173" s="91">
        <f>Q173-P173</f>
        <v>0</v>
      </c>
      <c r="S173" s="83" t="s">
        <v>108</v>
      </c>
      <c r="T173" s="110" t="s">
        <v>8</v>
      </c>
      <c r="U173" s="84" t="s">
        <v>330</v>
      </c>
      <c r="V173" s="297">
        <f>150000*8</f>
        <v>1200000</v>
      </c>
    </row>
    <row r="174" spans="1:22" ht="23.25" customHeight="1">
      <c r="A174" s="441"/>
      <c r="B174" s="417"/>
      <c r="C174" s="673"/>
      <c r="D174" s="159"/>
      <c r="E174" s="152"/>
      <c r="F174" s="152"/>
      <c r="G174" s="152"/>
      <c r="H174" s="185"/>
      <c r="I174" s="185"/>
      <c r="J174" s="185"/>
      <c r="K174" s="185"/>
      <c r="L174" s="185"/>
      <c r="M174" s="185"/>
      <c r="N174" s="185"/>
      <c r="O174" s="185"/>
      <c r="P174" s="185"/>
      <c r="Q174" s="185"/>
      <c r="R174" s="186"/>
      <c r="S174" s="89"/>
      <c r="T174" s="103"/>
      <c r="U174" s="90"/>
      <c r="V174" s="183"/>
    </row>
    <row r="175" spans="1:22" ht="23.25" customHeight="1">
      <c r="A175" s="441"/>
      <c r="B175" s="417"/>
      <c r="C175" s="649" t="s">
        <v>222</v>
      </c>
      <c r="D175" s="159"/>
      <c r="E175" s="152"/>
      <c r="F175" s="152"/>
      <c r="G175" s="152"/>
      <c r="H175" s="152">
        <v>0</v>
      </c>
      <c r="I175" s="152">
        <v>500000</v>
      </c>
      <c r="J175" s="152">
        <v>500000</v>
      </c>
      <c r="K175" s="152">
        <v>500000</v>
      </c>
      <c r="L175" s="152">
        <v>500000</v>
      </c>
      <c r="M175" s="152">
        <v>500000</v>
      </c>
      <c r="N175" s="152">
        <v>1200000</v>
      </c>
      <c r="O175" s="152">
        <v>1200000</v>
      </c>
      <c r="P175" s="152">
        <v>1200000</v>
      </c>
      <c r="Q175" s="152">
        <f>SUM(V175:V178)</f>
        <v>7500000</v>
      </c>
      <c r="R175" s="94">
        <f>Q175-P175</f>
        <v>6300000</v>
      </c>
      <c r="S175" s="85" t="s">
        <v>223</v>
      </c>
      <c r="T175" s="102" t="s">
        <v>224</v>
      </c>
      <c r="U175" s="86" t="s">
        <v>227</v>
      </c>
      <c r="V175" s="182">
        <f>100000*2</f>
        <v>200000</v>
      </c>
    </row>
    <row r="176" spans="1:22" ht="27.75" customHeight="1">
      <c r="A176" s="441"/>
      <c r="B176" s="417"/>
      <c r="C176" s="650"/>
      <c r="D176" s="159"/>
      <c r="E176" s="152"/>
      <c r="F176" s="152"/>
      <c r="G176" s="152"/>
      <c r="H176" s="152"/>
      <c r="I176" s="152"/>
      <c r="J176" s="152"/>
      <c r="K176" s="152"/>
      <c r="L176" s="152"/>
      <c r="M176" s="152"/>
      <c r="N176" s="152"/>
      <c r="O176" s="152"/>
      <c r="P176" s="152"/>
      <c r="Q176" s="152"/>
      <c r="R176" s="94"/>
      <c r="S176" s="85" t="s">
        <v>228</v>
      </c>
      <c r="T176" s="102" t="s">
        <v>229</v>
      </c>
      <c r="U176" s="86" t="s">
        <v>149</v>
      </c>
      <c r="V176" s="182">
        <f>300000*1</f>
        <v>300000</v>
      </c>
    </row>
    <row r="177" spans="1:22" ht="27.75" customHeight="1">
      <c r="A177" s="441"/>
      <c r="B177" s="417"/>
      <c r="C177" s="479"/>
      <c r="D177" s="159"/>
      <c r="E177" s="152"/>
      <c r="F177" s="152"/>
      <c r="G177" s="152"/>
      <c r="H177" s="152"/>
      <c r="I177" s="152"/>
      <c r="J177" s="152"/>
      <c r="K177" s="152"/>
      <c r="L177" s="152"/>
      <c r="M177" s="152"/>
      <c r="N177" s="152"/>
      <c r="O177" s="152"/>
      <c r="P177" s="152"/>
      <c r="Q177" s="152"/>
      <c r="R177" s="94"/>
      <c r="S177" s="85" t="s">
        <v>370</v>
      </c>
      <c r="T177" s="102" t="s">
        <v>374</v>
      </c>
      <c r="U177" s="86" t="s">
        <v>371</v>
      </c>
      <c r="V177" s="182">
        <f>6000000*1</f>
        <v>6000000</v>
      </c>
    </row>
    <row r="178" spans="1:22" ht="27.75" customHeight="1">
      <c r="A178" s="441"/>
      <c r="B178" s="417"/>
      <c r="C178" s="479"/>
      <c r="D178" s="159"/>
      <c r="E178" s="152"/>
      <c r="F178" s="152"/>
      <c r="G178" s="152"/>
      <c r="H178" s="152"/>
      <c r="I178" s="152"/>
      <c r="J178" s="152"/>
      <c r="K178" s="152"/>
      <c r="L178" s="152"/>
      <c r="M178" s="152"/>
      <c r="N178" s="152"/>
      <c r="O178" s="152"/>
      <c r="P178" s="152"/>
      <c r="Q178" s="152"/>
      <c r="R178" s="94"/>
      <c r="S178" s="85" t="s">
        <v>372</v>
      </c>
      <c r="T178" s="102" t="s">
        <v>373</v>
      </c>
      <c r="U178" s="86" t="s">
        <v>306</v>
      </c>
      <c r="V178" s="182">
        <f>1000000*1</f>
        <v>1000000</v>
      </c>
    </row>
    <row r="179" spans="1:22" ht="27.75" customHeight="1">
      <c r="A179" s="441"/>
      <c r="B179" s="417"/>
      <c r="C179" s="495" t="s">
        <v>52</v>
      </c>
      <c r="D179" s="478">
        <v>80000</v>
      </c>
      <c r="E179" s="465">
        <v>160000</v>
      </c>
      <c r="F179" s="465">
        <v>160000</v>
      </c>
      <c r="G179" s="465">
        <v>80000</v>
      </c>
      <c r="H179" s="465">
        <v>160000</v>
      </c>
      <c r="I179" s="465">
        <v>180000</v>
      </c>
      <c r="J179" s="465">
        <v>300000</v>
      </c>
      <c r="K179" s="465">
        <v>600000</v>
      </c>
      <c r="L179" s="465">
        <v>600000</v>
      </c>
      <c r="M179" s="465">
        <v>600000</v>
      </c>
      <c r="N179" s="465">
        <v>600000</v>
      </c>
      <c r="O179" s="465">
        <v>600000</v>
      </c>
      <c r="P179" s="465">
        <v>600000</v>
      </c>
      <c r="Q179" s="465">
        <f>SUM(V179:V182)</f>
        <v>900000</v>
      </c>
      <c r="R179" s="466">
        <f>Q179-P179</f>
        <v>300000</v>
      </c>
      <c r="S179" s="83" t="s">
        <v>109</v>
      </c>
      <c r="T179" s="110" t="s">
        <v>110</v>
      </c>
      <c r="U179" s="84" t="s">
        <v>217</v>
      </c>
      <c r="V179" s="179">
        <f>100000*1</f>
        <v>100000</v>
      </c>
    </row>
    <row r="180" spans="1:22" ht="29.25" customHeight="1">
      <c r="A180" s="441"/>
      <c r="B180" s="417"/>
      <c r="C180" s="479"/>
      <c r="D180" s="469"/>
      <c r="E180" s="470"/>
      <c r="F180" s="470"/>
      <c r="G180" s="470"/>
      <c r="H180" s="470"/>
      <c r="I180" s="470"/>
      <c r="J180" s="470"/>
      <c r="K180" s="470"/>
      <c r="L180" s="470"/>
      <c r="M180" s="470"/>
      <c r="N180" s="470"/>
      <c r="O180" s="470"/>
      <c r="P180" s="470"/>
      <c r="Q180" s="470"/>
      <c r="R180" s="471"/>
      <c r="S180" s="85"/>
      <c r="T180" s="104" t="s">
        <v>266</v>
      </c>
      <c r="U180" s="86" t="s">
        <v>149</v>
      </c>
      <c r="V180" s="180">
        <f>300000*1</f>
        <v>300000</v>
      </c>
    </row>
    <row r="181" spans="1:22" ht="29.25" customHeight="1">
      <c r="A181" s="441"/>
      <c r="B181" s="417"/>
      <c r="C181" s="551"/>
      <c r="D181" s="469"/>
      <c r="E181" s="470"/>
      <c r="F181" s="470"/>
      <c r="G181" s="470"/>
      <c r="H181" s="470"/>
      <c r="I181" s="470"/>
      <c r="J181" s="470"/>
      <c r="K181" s="470"/>
      <c r="L181" s="470"/>
      <c r="M181" s="470"/>
      <c r="N181" s="470"/>
      <c r="O181" s="470"/>
      <c r="P181" s="470"/>
      <c r="Q181" s="470"/>
      <c r="R181" s="471"/>
      <c r="S181" s="85"/>
      <c r="T181" s="104" t="s">
        <v>184</v>
      </c>
      <c r="U181" s="86" t="s">
        <v>148</v>
      </c>
      <c r="V181" s="180">
        <f>50000*4</f>
        <v>200000</v>
      </c>
    </row>
    <row r="182" spans="1:22" ht="29.25" customHeight="1">
      <c r="A182" s="441"/>
      <c r="B182" s="417"/>
      <c r="C182" s="496"/>
      <c r="D182" s="475"/>
      <c r="E182" s="476"/>
      <c r="F182" s="476"/>
      <c r="G182" s="476"/>
      <c r="H182" s="476"/>
      <c r="I182" s="476"/>
      <c r="J182" s="476"/>
      <c r="K182" s="476"/>
      <c r="L182" s="476"/>
      <c r="M182" s="476"/>
      <c r="N182" s="476"/>
      <c r="O182" s="476"/>
      <c r="P182" s="476"/>
      <c r="Q182" s="476"/>
      <c r="R182" s="497"/>
      <c r="S182" s="89"/>
      <c r="T182" s="105" t="s">
        <v>633</v>
      </c>
      <c r="U182" s="90" t="s">
        <v>634</v>
      </c>
      <c r="V182" s="181">
        <f>300000*1</f>
        <v>300000</v>
      </c>
    </row>
    <row r="183" spans="1:22" ht="28.5" customHeight="1">
      <c r="A183" s="441"/>
      <c r="B183" s="417"/>
      <c r="C183" s="649" t="s">
        <v>431</v>
      </c>
      <c r="D183" s="469"/>
      <c r="E183" s="470"/>
      <c r="F183" s="470"/>
      <c r="G183" s="470"/>
      <c r="H183" s="470"/>
      <c r="I183" s="470">
        <v>25000000</v>
      </c>
      <c r="J183" s="470">
        <v>25000000</v>
      </c>
      <c r="K183" s="470">
        <v>25000000</v>
      </c>
      <c r="L183" s="470">
        <v>25000000</v>
      </c>
      <c r="M183" s="470">
        <v>25000000</v>
      </c>
      <c r="N183" s="470">
        <v>25000000</v>
      </c>
      <c r="O183" s="470">
        <v>25000000</v>
      </c>
      <c r="P183" s="470">
        <v>25000000</v>
      </c>
      <c r="Q183" s="470">
        <f>SUM(V183:V193)</f>
        <v>25000000</v>
      </c>
      <c r="R183" s="471">
        <f>Q183-P183</f>
        <v>0</v>
      </c>
      <c r="S183" s="85"/>
      <c r="T183" s="561" t="s">
        <v>491</v>
      </c>
      <c r="U183" s="99" t="s">
        <v>492</v>
      </c>
      <c r="V183" s="180">
        <f>36*9*2*30000</f>
        <v>19440000</v>
      </c>
    </row>
    <row r="184" spans="1:22" ht="28.5" customHeight="1">
      <c r="A184" s="441"/>
      <c r="B184" s="417"/>
      <c r="C184" s="650"/>
      <c r="D184" s="469"/>
      <c r="E184" s="470"/>
      <c r="F184" s="470"/>
      <c r="G184" s="470"/>
      <c r="H184" s="470"/>
      <c r="I184" s="470"/>
      <c r="J184" s="470"/>
      <c r="K184" s="470"/>
      <c r="L184" s="470"/>
      <c r="M184" s="470"/>
      <c r="N184" s="470"/>
      <c r="O184" s="470"/>
      <c r="P184" s="470"/>
      <c r="Q184" s="470"/>
      <c r="R184" s="471"/>
      <c r="S184" s="85"/>
      <c r="T184" s="561" t="s">
        <v>493</v>
      </c>
      <c r="U184" s="99" t="s">
        <v>494</v>
      </c>
      <c r="V184" s="180">
        <f>1*3*50000</f>
        <v>150000</v>
      </c>
    </row>
    <row r="185" spans="1:22" ht="28.5" customHeight="1">
      <c r="A185" s="441"/>
      <c r="B185" s="417"/>
      <c r="C185" s="490"/>
      <c r="D185" s="469"/>
      <c r="E185" s="470"/>
      <c r="F185" s="470"/>
      <c r="G185" s="470"/>
      <c r="H185" s="470"/>
      <c r="I185" s="470"/>
      <c r="J185" s="470"/>
      <c r="K185" s="470"/>
      <c r="L185" s="470"/>
      <c r="M185" s="470"/>
      <c r="N185" s="470"/>
      <c r="O185" s="470"/>
      <c r="P185" s="470"/>
      <c r="Q185" s="470"/>
      <c r="R185" s="471"/>
      <c r="S185" s="85"/>
      <c r="T185" s="561" t="s">
        <v>495</v>
      </c>
      <c r="U185" s="99" t="s">
        <v>496</v>
      </c>
      <c r="V185" s="180">
        <f>9*100000</f>
        <v>900000</v>
      </c>
    </row>
    <row r="186" spans="1:22" ht="28.5" customHeight="1">
      <c r="A186" s="441"/>
      <c r="B186" s="417"/>
      <c r="C186" s="490"/>
      <c r="D186" s="469"/>
      <c r="E186" s="470"/>
      <c r="F186" s="470"/>
      <c r="G186" s="470"/>
      <c r="H186" s="470"/>
      <c r="I186" s="470"/>
      <c r="J186" s="470"/>
      <c r="K186" s="470"/>
      <c r="L186" s="470"/>
      <c r="M186" s="470"/>
      <c r="N186" s="470"/>
      <c r="O186" s="470"/>
      <c r="P186" s="470"/>
      <c r="Q186" s="470"/>
      <c r="R186" s="471"/>
      <c r="S186" s="85"/>
      <c r="T186" s="561"/>
      <c r="U186" s="99" t="s">
        <v>497</v>
      </c>
      <c r="V186" s="180">
        <f>1*300000</f>
        <v>300000</v>
      </c>
    </row>
    <row r="187" spans="1:22" ht="28.5" customHeight="1">
      <c r="A187" s="441"/>
      <c r="B187" s="417"/>
      <c r="C187" s="490"/>
      <c r="D187" s="469"/>
      <c r="E187" s="470"/>
      <c r="F187" s="470"/>
      <c r="G187" s="470"/>
      <c r="H187" s="470"/>
      <c r="I187" s="470"/>
      <c r="J187" s="470"/>
      <c r="K187" s="470"/>
      <c r="L187" s="470"/>
      <c r="M187" s="470"/>
      <c r="N187" s="470"/>
      <c r="O187" s="470"/>
      <c r="P187" s="470"/>
      <c r="Q187" s="470"/>
      <c r="R187" s="471"/>
      <c r="S187" s="85"/>
      <c r="T187" s="561"/>
      <c r="U187" s="99" t="s">
        <v>498</v>
      </c>
      <c r="V187" s="180">
        <f>1*100000</f>
        <v>100000</v>
      </c>
    </row>
    <row r="188" spans="1:22" ht="28.5" customHeight="1">
      <c r="A188" s="441"/>
      <c r="B188" s="417"/>
      <c r="C188" s="490"/>
      <c r="D188" s="469"/>
      <c r="E188" s="470"/>
      <c r="F188" s="470"/>
      <c r="G188" s="470"/>
      <c r="H188" s="470"/>
      <c r="I188" s="470"/>
      <c r="J188" s="470"/>
      <c r="K188" s="470"/>
      <c r="L188" s="470"/>
      <c r="M188" s="470"/>
      <c r="N188" s="470"/>
      <c r="O188" s="470"/>
      <c r="P188" s="470"/>
      <c r="Q188" s="470"/>
      <c r="R188" s="471"/>
      <c r="S188" s="85"/>
      <c r="T188" s="561"/>
      <c r="U188" s="99" t="s">
        <v>499</v>
      </c>
      <c r="V188" s="180">
        <v>200000</v>
      </c>
    </row>
    <row r="189" spans="1:22" ht="28.5" customHeight="1">
      <c r="A189" s="441"/>
      <c r="B189" s="417"/>
      <c r="C189" s="490"/>
      <c r="D189" s="469"/>
      <c r="E189" s="470"/>
      <c r="F189" s="470"/>
      <c r="G189" s="470"/>
      <c r="H189" s="470"/>
      <c r="I189" s="470"/>
      <c r="J189" s="470"/>
      <c r="K189" s="470"/>
      <c r="L189" s="470"/>
      <c r="M189" s="470"/>
      <c r="N189" s="470"/>
      <c r="O189" s="470"/>
      <c r="P189" s="470"/>
      <c r="Q189" s="470"/>
      <c r="R189" s="471"/>
      <c r="S189" s="85"/>
      <c r="T189" s="561" t="s">
        <v>500</v>
      </c>
      <c r="U189" s="99" t="s">
        <v>477</v>
      </c>
      <c r="V189" s="180">
        <f>2000000*1</f>
        <v>2000000</v>
      </c>
    </row>
    <row r="190" spans="1:22" ht="28.5" customHeight="1">
      <c r="A190" s="441"/>
      <c r="B190" s="417"/>
      <c r="C190" s="490"/>
      <c r="D190" s="469"/>
      <c r="E190" s="470"/>
      <c r="F190" s="470"/>
      <c r="G190" s="470"/>
      <c r="H190" s="470"/>
      <c r="I190" s="470"/>
      <c r="J190" s="470"/>
      <c r="K190" s="470"/>
      <c r="L190" s="470"/>
      <c r="M190" s="470"/>
      <c r="N190" s="470"/>
      <c r="O190" s="470"/>
      <c r="P190" s="470"/>
      <c r="Q190" s="470"/>
      <c r="R190" s="471"/>
      <c r="S190" s="85"/>
      <c r="T190" s="561" t="s">
        <v>501</v>
      </c>
      <c r="U190" s="99" t="s">
        <v>502</v>
      </c>
      <c r="V190" s="180">
        <f>2*150000</f>
        <v>300000</v>
      </c>
    </row>
    <row r="191" spans="1:22" ht="28.5" customHeight="1">
      <c r="A191" s="441"/>
      <c r="B191" s="417"/>
      <c r="C191" s="490"/>
      <c r="D191" s="469"/>
      <c r="E191" s="470"/>
      <c r="F191" s="470"/>
      <c r="G191" s="470"/>
      <c r="H191" s="470"/>
      <c r="I191" s="470"/>
      <c r="J191" s="470"/>
      <c r="K191" s="470"/>
      <c r="L191" s="470"/>
      <c r="M191" s="470"/>
      <c r="N191" s="470"/>
      <c r="O191" s="470"/>
      <c r="P191" s="470"/>
      <c r="Q191" s="470"/>
      <c r="R191" s="471"/>
      <c r="S191" s="85"/>
      <c r="T191" s="561" t="s">
        <v>503</v>
      </c>
      <c r="U191" s="99" t="s">
        <v>504</v>
      </c>
      <c r="V191" s="180">
        <f>2*150000</f>
        <v>300000</v>
      </c>
    </row>
    <row r="192" spans="1:22" ht="28.5" customHeight="1">
      <c r="A192" s="441"/>
      <c r="B192" s="417"/>
      <c r="C192" s="490"/>
      <c r="D192" s="469"/>
      <c r="E192" s="470"/>
      <c r="F192" s="470"/>
      <c r="G192" s="470"/>
      <c r="H192" s="470"/>
      <c r="I192" s="470"/>
      <c r="J192" s="470"/>
      <c r="K192" s="470"/>
      <c r="L192" s="470"/>
      <c r="M192" s="470"/>
      <c r="N192" s="470"/>
      <c r="O192" s="470"/>
      <c r="P192" s="470"/>
      <c r="Q192" s="470"/>
      <c r="R192" s="471"/>
      <c r="S192" s="85"/>
      <c r="T192" s="561" t="s">
        <v>505</v>
      </c>
      <c r="U192" s="99" t="s">
        <v>556</v>
      </c>
      <c r="V192" s="180">
        <f>10*11000</f>
        <v>110000</v>
      </c>
    </row>
    <row r="193" spans="1:22" ht="28.5" customHeight="1">
      <c r="A193" s="441"/>
      <c r="B193" s="417"/>
      <c r="C193" s="496"/>
      <c r="D193" s="475"/>
      <c r="E193" s="476"/>
      <c r="F193" s="476"/>
      <c r="G193" s="476"/>
      <c r="H193" s="476"/>
      <c r="I193" s="476"/>
      <c r="J193" s="476"/>
      <c r="K193" s="476"/>
      <c r="L193" s="476"/>
      <c r="M193" s="476"/>
      <c r="N193" s="476"/>
      <c r="O193" s="476"/>
      <c r="P193" s="476"/>
      <c r="Q193" s="476"/>
      <c r="R193" s="477"/>
      <c r="S193" s="89"/>
      <c r="T193" s="562" t="s">
        <v>506</v>
      </c>
      <c r="U193" s="440" t="s">
        <v>557</v>
      </c>
      <c r="V193" s="181">
        <f>12*100000</f>
        <v>1200000</v>
      </c>
    </row>
    <row r="194" spans="1:22" ht="28.5" customHeight="1">
      <c r="A194" s="441"/>
      <c r="B194" s="417"/>
      <c r="C194" s="649" t="s">
        <v>53</v>
      </c>
      <c r="D194" s="478">
        <v>2850000</v>
      </c>
      <c r="E194" s="465">
        <v>2100000</v>
      </c>
      <c r="F194" s="465">
        <v>2100000</v>
      </c>
      <c r="G194" s="465">
        <v>2850000</v>
      </c>
      <c r="H194" s="465">
        <v>2100000</v>
      </c>
      <c r="I194" s="465">
        <v>3580000</v>
      </c>
      <c r="J194" s="465">
        <v>2580000</v>
      </c>
      <c r="K194" s="465">
        <v>2580000</v>
      </c>
      <c r="L194" s="465">
        <v>3080000</v>
      </c>
      <c r="M194" s="465">
        <v>2670000</v>
      </c>
      <c r="N194" s="465">
        <v>3170000</v>
      </c>
      <c r="O194" s="465">
        <v>3170000</v>
      </c>
      <c r="P194" s="465">
        <v>3170000</v>
      </c>
      <c r="Q194" s="465">
        <f>SUM(V194:V198)</f>
        <v>3170000</v>
      </c>
      <c r="R194" s="466">
        <f>Q194-P194</f>
        <v>0</v>
      </c>
      <c r="S194" s="83" t="s">
        <v>112</v>
      </c>
      <c r="T194" s="101" t="s">
        <v>113</v>
      </c>
      <c r="U194" s="84" t="s">
        <v>144</v>
      </c>
      <c r="V194" s="179">
        <f>50000*2</f>
        <v>100000</v>
      </c>
    </row>
    <row r="195" spans="1:22" ht="23.25" customHeight="1">
      <c r="A195" s="441"/>
      <c r="B195" s="417"/>
      <c r="C195" s="650"/>
      <c r="D195" s="469"/>
      <c r="E195" s="470"/>
      <c r="F195" s="470"/>
      <c r="G195" s="470"/>
      <c r="H195" s="470"/>
      <c r="I195" s="470"/>
      <c r="J195" s="470"/>
      <c r="K195" s="470"/>
      <c r="L195" s="470"/>
      <c r="M195" s="470"/>
      <c r="N195" s="470"/>
      <c r="O195" s="470"/>
      <c r="P195" s="470"/>
      <c r="Q195" s="470"/>
      <c r="R195" s="471"/>
      <c r="S195" s="85"/>
      <c r="T195" s="102" t="s">
        <v>378</v>
      </c>
      <c r="U195" s="86" t="s">
        <v>308</v>
      </c>
      <c r="V195" s="180">
        <f>500000*1</f>
        <v>500000</v>
      </c>
    </row>
    <row r="196" spans="1:22" ht="23.25" customHeight="1">
      <c r="A196" s="441"/>
      <c r="B196" s="417"/>
      <c r="C196" s="650"/>
      <c r="D196" s="469"/>
      <c r="E196" s="470"/>
      <c r="F196" s="470"/>
      <c r="G196" s="470"/>
      <c r="H196" s="470"/>
      <c r="I196" s="470"/>
      <c r="J196" s="470"/>
      <c r="K196" s="470"/>
      <c r="L196" s="470"/>
      <c r="M196" s="470"/>
      <c r="N196" s="470"/>
      <c r="O196" s="470"/>
      <c r="P196" s="470"/>
      <c r="Q196" s="470"/>
      <c r="R196" s="471"/>
      <c r="S196" s="85"/>
      <c r="T196" s="102" t="s">
        <v>114</v>
      </c>
      <c r="U196" s="86" t="s">
        <v>236</v>
      </c>
      <c r="V196" s="180">
        <v>2000000</v>
      </c>
    </row>
    <row r="197" spans="1:22" ht="23.25" customHeight="1">
      <c r="A197" s="441"/>
      <c r="B197" s="417"/>
      <c r="C197" s="479"/>
      <c r="D197" s="469"/>
      <c r="E197" s="470"/>
      <c r="F197" s="470"/>
      <c r="G197" s="470"/>
      <c r="H197" s="470"/>
      <c r="I197" s="470"/>
      <c r="J197" s="470"/>
      <c r="K197" s="470"/>
      <c r="L197" s="470"/>
      <c r="M197" s="470"/>
      <c r="N197" s="470"/>
      <c r="O197" s="470"/>
      <c r="P197" s="470"/>
      <c r="Q197" s="470"/>
      <c r="R197" s="471"/>
      <c r="S197" s="85"/>
      <c r="T197" s="102"/>
      <c r="U197" s="86" t="s">
        <v>225</v>
      </c>
      <c r="V197" s="180">
        <f>100000*3</f>
        <v>300000</v>
      </c>
    </row>
    <row r="198" spans="1:22" ht="23.25" customHeight="1">
      <c r="A198" s="441"/>
      <c r="B198" s="417"/>
      <c r="C198" s="498"/>
      <c r="D198" s="475"/>
      <c r="E198" s="476"/>
      <c r="F198" s="476"/>
      <c r="G198" s="476"/>
      <c r="H198" s="476"/>
      <c r="I198" s="476"/>
      <c r="J198" s="476"/>
      <c r="K198" s="476"/>
      <c r="L198" s="476"/>
      <c r="M198" s="476"/>
      <c r="N198" s="476"/>
      <c r="O198" s="476"/>
      <c r="P198" s="476"/>
      <c r="Q198" s="476"/>
      <c r="R198" s="477"/>
      <c r="S198" s="89"/>
      <c r="T198" s="103"/>
      <c r="U198" s="90" t="s">
        <v>297</v>
      </c>
      <c r="V198" s="181">
        <f>30000*9</f>
        <v>270000</v>
      </c>
    </row>
    <row r="199" spans="1:22" ht="23.25" customHeight="1">
      <c r="A199" s="441"/>
      <c r="B199" s="417"/>
      <c r="C199" s="650" t="s">
        <v>54</v>
      </c>
      <c r="D199" s="469">
        <v>13470000</v>
      </c>
      <c r="E199" s="470">
        <v>13500000</v>
      </c>
      <c r="F199" s="470">
        <v>14500000</v>
      </c>
      <c r="G199" s="470">
        <v>13470000</v>
      </c>
      <c r="H199" s="470">
        <v>19000000</v>
      </c>
      <c r="I199" s="470">
        <v>19435000</v>
      </c>
      <c r="J199" s="470">
        <v>12000000</v>
      </c>
      <c r="K199" s="470">
        <v>28300000</v>
      </c>
      <c r="L199" s="470">
        <v>25300000</v>
      </c>
      <c r="M199" s="470">
        <v>22700000</v>
      </c>
      <c r="N199" s="470">
        <v>23000000</v>
      </c>
      <c r="O199" s="470">
        <v>55300000</v>
      </c>
      <c r="P199" s="470">
        <v>55650000</v>
      </c>
      <c r="Q199" s="470">
        <f>SUM(V199:V201)</f>
        <v>24000000</v>
      </c>
      <c r="R199" s="471">
        <f>Q199-P199</f>
        <v>-31650000</v>
      </c>
      <c r="S199" s="85" t="s">
        <v>115</v>
      </c>
      <c r="T199" s="102" t="s">
        <v>116</v>
      </c>
      <c r="U199" s="86" t="s">
        <v>240</v>
      </c>
      <c r="V199" s="180">
        <f>1000000*1</f>
        <v>1000000</v>
      </c>
    </row>
    <row r="200" spans="1:22" ht="23.25" customHeight="1">
      <c r="A200" s="441"/>
      <c r="B200" s="417"/>
      <c r="C200" s="650"/>
      <c r="D200" s="469"/>
      <c r="E200" s="470"/>
      <c r="F200" s="470"/>
      <c r="G200" s="470"/>
      <c r="H200" s="470"/>
      <c r="I200" s="470"/>
      <c r="J200" s="470"/>
      <c r="K200" s="470"/>
      <c r="L200" s="470"/>
      <c r="M200" s="470"/>
      <c r="N200" s="470"/>
      <c r="O200" s="470"/>
      <c r="P200" s="470"/>
      <c r="Q200" s="470"/>
      <c r="R200" s="471"/>
      <c r="S200" s="89">
        <f>SUM(V199:V200)</f>
        <v>21000000</v>
      </c>
      <c r="T200" s="103" t="s">
        <v>166</v>
      </c>
      <c r="U200" s="299" t="s">
        <v>211</v>
      </c>
      <c r="V200" s="181">
        <f>20000000*1</f>
        <v>20000000</v>
      </c>
    </row>
    <row r="201" spans="1:22" ht="23.25" customHeight="1">
      <c r="A201" s="441"/>
      <c r="B201" s="417"/>
      <c r="C201" s="650"/>
      <c r="D201" s="469"/>
      <c r="E201" s="470"/>
      <c r="F201" s="470"/>
      <c r="G201" s="470"/>
      <c r="H201" s="470"/>
      <c r="I201" s="470"/>
      <c r="J201" s="470"/>
      <c r="K201" s="470"/>
      <c r="L201" s="470"/>
      <c r="M201" s="470"/>
      <c r="N201" s="470"/>
      <c r="O201" s="470"/>
      <c r="P201" s="470"/>
      <c r="Q201" s="470"/>
      <c r="R201" s="471"/>
      <c r="S201" s="81" t="s">
        <v>239</v>
      </c>
      <c r="T201" s="100"/>
      <c r="U201" s="214" t="s">
        <v>361</v>
      </c>
      <c r="V201" s="178">
        <f>500000*6</f>
        <v>3000000</v>
      </c>
    </row>
    <row r="202" spans="1:22" ht="23.25" customHeight="1">
      <c r="A202" s="441"/>
      <c r="B202" s="417"/>
      <c r="C202" s="649" t="s">
        <v>117</v>
      </c>
      <c r="D202" s="478">
        <v>2060000</v>
      </c>
      <c r="E202" s="465">
        <v>2060000</v>
      </c>
      <c r="F202" s="465">
        <v>2660000</v>
      </c>
      <c r="G202" s="465">
        <v>2060000</v>
      </c>
      <c r="H202" s="465">
        <v>3160000</v>
      </c>
      <c r="I202" s="465">
        <v>6820000</v>
      </c>
      <c r="J202" s="465">
        <v>4220000</v>
      </c>
      <c r="K202" s="465">
        <v>6600000</v>
      </c>
      <c r="L202" s="465">
        <v>9600000</v>
      </c>
      <c r="M202" s="465">
        <v>9650000</v>
      </c>
      <c r="N202" s="465">
        <v>9850000</v>
      </c>
      <c r="O202" s="465">
        <v>7400000</v>
      </c>
      <c r="P202" s="465">
        <v>7400000</v>
      </c>
      <c r="Q202" s="465">
        <f>SUM(V202:V208)</f>
        <v>8400000</v>
      </c>
      <c r="R202" s="466">
        <f>Q202-P202</f>
        <v>1000000</v>
      </c>
      <c r="S202" s="83" t="s">
        <v>118</v>
      </c>
      <c r="T202" s="101" t="s">
        <v>111</v>
      </c>
      <c r="U202" s="84" t="s">
        <v>310</v>
      </c>
      <c r="V202" s="179">
        <f>50000*12</f>
        <v>600000</v>
      </c>
    </row>
    <row r="203" spans="1:22" ht="23.25" customHeight="1">
      <c r="A203" s="441"/>
      <c r="B203" s="417"/>
      <c r="C203" s="650"/>
      <c r="D203" s="469"/>
      <c r="E203" s="470"/>
      <c r="F203" s="470"/>
      <c r="G203" s="470"/>
      <c r="H203" s="470"/>
      <c r="I203" s="470"/>
      <c r="J203" s="470"/>
      <c r="K203" s="470"/>
      <c r="L203" s="470"/>
      <c r="M203" s="470"/>
      <c r="N203" s="470"/>
      <c r="O203" s="470"/>
      <c r="P203" s="470"/>
      <c r="Q203" s="470"/>
      <c r="R203" s="471"/>
      <c r="S203" s="85"/>
      <c r="T203" s="102"/>
      <c r="U203" s="86" t="s">
        <v>329</v>
      </c>
      <c r="V203" s="180">
        <f>2000000*1</f>
        <v>2000000</v>
      </c>
    </row>
    <row r="204" spans="1:22" ht="23.25" customHeight="1">
      <c r="A204" s="441"/>
      <c r="B204" s="417"/>
      <c r="C204" s="488"/>
      <c r="D204" s="469"/>
      <c r="E204" s="470"/>
      <c r="F204" s="470"/>
      <c r="G204" s="470"/>
      <c r="H204" s="470"/>
      <c r="I204" s="470"/>
      <c r="J204" s="470"/>
      <c r="K204" s="470"/>
      <c r="L204" s="470"/>
      <c r="M204" s="470"/>
      <c r="N204" s="470"/>
      <c r="O204" s="470"/>
      <c r="P204" s="470"/>
      <c r="Q204" s="470"/>
      <c r="R204" s="471"/>
      <c r="S204" s="85"/>
      <c r="T204" s="102"/>
      <c r="U204" s="86" t="s">
        <v>276</v>
      </c>
      <c r="V204" s="180">
        <f>200000*6</f>
        <v>1200000</v>
      </c>
    </row>
    <row r="205" spans="1:22" ht="23.25" customHeight="1">
      <c r="A205" s="441"/>
      <c r="B205" s="417"/>
      <c r="C205" s="488"/>
      <c r="D205" s="469"/>
      <c r="E205" s="470"/>
      <c r="F205" s="470"/>
      <c r="G205" s="470"/>
      <c r="H205" s="470"/>
      <c r="I205" s="470"/>
      <c r="J205" s="470"/>
      <c r="K205" s="470"/>
      <c r="L205" s="470"/>
      <c r="M205" s="470"/>
      <c r="N205" s="470"/>
      <c r="O205" s="470"/>
      <c r="P205" s="470"/>
      <c r="Q205" s="470"/>
      <c r="R205" s="471"/>
      <c r="S205" s="85"/>
      <c r="T205" s="102" t="s">
        <v>189</v>
      </c>
      <c r="U205" s="86" t="s">
        <v>306</v>
      </c>
      <c r="V205" s="180">
        <f>1000000*1</f>
        <v>1000000</v>
      </c>
    </row>
    <row r="206" spans="1:22" ht="23.25" customHeight="1">
      <c r="A206" s="441"/>
      <c r="B206" s="417"/>
      <c r="C206" s="488"/>
      <c r="D206" s="469"/>
      <c r="E206" s="470"/>
      <c r="F206" s="470"/>
      <c r="G206" s="470"/>
      <c r="H206" s="470"/>
      <c r="I206" s="470"/>
      <c r="J206" s="470"/>
      <c r="K206" s="470"/>
      <c r="L206" s="470"/>
      <c r="M206" s="470"/>
      <c r="N206" s="470"/>
      <c r="O206" s="470"/>
      <c r="P206" s="470"/>
      <c r="Q206" s="470"/>
      <c r="R206" s="471"/>
      <c r="S206" s="85"/>
      <c r="T206" s="102" t="s">
        <v>188</v>
      </c>
      <c r="U206" s="86" t="s">
        <v>281</v>
      </c>
      <c r="V206" s="180">
        <f>1500000*2</f>
        <v>3000000</v>
      </c>
    </row>
    <row r="207" spans="1:22" ht="23.25" customHeight="1">
      <c r="A207" s="441"/>
      <c r="B207" s="417"/>
      <c r="C207" s="488"/>
      <c r="D207" s="469"/>
      <c r="E207" s="470"/>
      <c r="F207" s="470"/>
      <c r="G207" s="470"/>
      <c r="H207" s="470"/>
      <c r="I207" s="470"/>
      <c r="J207" s="470"/>
      <c r="K207" s="470"/>
      <c r="L207" s="470"/>
      <c r="M207" s="470"/>
      <c r="N207" s="470"/>
      <c r="O207" s="470"/>
      <c r="P207" s="470"/>
      <c r="Q207" s="470"/>
      <c r="R207" s="474"/>
      <c r="S207" s="89"/>
      <c r="T207" s="103" t="s">
        <v>137</v>
      </c>
      <c r="U207" s="90" t="s">
        <v>268</v>
      </c>
      <c r="V207" s="181">
        <f>100000*1</f>
        <v>100000</v>
      </c>
    </row>
    <row r="208" spans="1:22" ht="23.25" customHeight="1">
      <c r="A208" s="441"/>
      <c r="B208" s="417"/>
      <c r="C208" s="489"/>
      <c r="D208" s="475"/>
      <c r="E208" s="476"/>
      <c r="F208" s="476"/>
      <c r="G208" s="476"/>
      <c r="H208" s="476"/>
      <c r="I208" s="476"/>
      <c r="J208" s="476"/>
      <c r="K208" s="476"/>
      <c r="L208" s="476"/>
      <c r="M208" s="476"/>
      <c r="N208" s="476"/>
      <c r="O208" s="476"/>
      <c r="P208" s="476"/>
      <c r="Q208" s="476"/>
      <c r="R208" s="477"/>
      <c r="S208" s="81" t="s">
        <v>507</v>
      </c>
      <c r="T208" s="532"/>
      <c r="U208" s="418" t="s">
        <v>508</v>
      </c>
      <c r="V208" s="178">
        <v>500000</v>
      </c>
    </row>
    <row r="209" spans="1:22" ht="23.25" customHeight="1">
      <c r="A209" s="441"/>
      <c r="B209" s="417"/>
      <c r="C209" s="649" t="s">
        <v>175</v>
      </c>
      <c r="D209" s="469">
        <v>2920000</v>
      </c>
      <c r="E209" s="470">
        <v>4920000</v>
      </c>
      <c r="F209" s="470">
        <v>4920000</v>
      </c>
      <c r="G209" s="470">
        <v>2920000</v>
      </c>
      <c r="H209" s="470">
        <v>4920000</v>
      </c>
      <c r="I209" s="470">
        <v>5264000</v>
      </c>
      <c r="J209" s="470">
        <v>4840000</v>
      </c>
      <c r="K209" s="470">
        <v>5300000</v>
      </c>
      <c r="L209" s="470">
        <v>5300000</v>
      </c>
      <c r="M209" s="470">
        <v>5540000</v>
      </c>
      <c r="N209" s="470">
        <v>6040000</v>
      </c>
      <c r="O209" s="470">
        <v>4490000</v>
      </c>
      <c r="P209" s="470">
        <v>5240000</v>
      </c>
      <c r="Q209" s="470">
        <f>SUM(V209:V213)</f>
        <v>6540000</v>
      </c>
      <c r="R209" s="471">
        <f>Q209-P209</f>
        <v>1300000</v>
      </c>
      <c r="S209" s="85" t="s">
        <v>129</v>
      </c>
      <c r="T209" s="102" t="s">
        <v>120</v>
      </c>
      <c r="U209" s="86" t="s">
        <v>296</v>
      </c>
      <c r="V209" s="180">
        <f>1100000*4</f>
        <v>4400000</v>
      </c>
    </row>
    <row r="210" spans="1:22" ht="23.25" customHeight="1">
      <c r="A210" s="441"/>
      <c r="B210" s="417"/>
      <c r="C210" s="650"/>
      <c r="D210" s="469"/>
      <c r="E210" s="470"/>
      <c r="F210" s="470"/>
      <c r="G210" s="470"/>
      <c r="H210" s="470"/>
      <c r="I210" s="470"/>
      <c r="J210" s="470"/>
      <c r="K210" s="470"/>
      <c r="L210" s="470"/>
      <c r="M210" s="470"/>
      <c r="N210" s="470"/>
      <c r="O210" s="470"/>
      <c r="P210" s="470"/>
      <c r="Q210" s="470"/>
      <c r="R210" s="471"/>
      <c r="S210" s="85"/>
      <c r="T210" s="102" t="s">
        <v>162</v>
      </c>
      <c r="U210" s="86" t="s">
        <v>150</v>
      </c>
      <c r="V210" s="180">
        <f>100000*1</f>
        <v>100000</v>
      </c>
    </row>
    <row r="211" spans="1:22" ht="23.25" customHeight="1">
      <c r="A211" s="441"/>
      <c r="B211" s="417"/>
      <c r="C211" s="650"/>
      <c r="D211" s="469"/>
      <c r="E211" s="470"/>
      <c r="F211" s="470"/>
      <c r="G211" s="470"/>
      <c r="H211" s="470"/>
      <c r="I211" s="470"/>
      <c r="J211" s="470"/>
      <c r="K211" s="470"/>
      <c r="L211" s="470"/>
      <c r="M211" s="470"/>
      <c r="N211" s="470"/>
      <c r="O211" s="470"/>
      <c r="P211" s="470"/>
      <c r="Q211" s="470"/>
      <c r="R211" s="471"/>
      <c r="S211" s="85"/>
      <c r="T211" s="102" t="s">
        <v>163</v>
      </c>
      <c r="U211" s="86" t="s">
        <v>238</v>
      </c>
      <c r="V211" s="180">
        <f>600000*1</f>
        <v>600000</v>
      </c>
    </row>
    <row r="212" spans="1:22" ht="23.25" customHeight="1">
      <c r="A212" s="441"/>
      <c r="B212" s="417"/>
      <c r="C212" s="650"/>
      <c r="D212" s="469"/>
      <c r="E212" s="470"/>
      <c r="F212" s="470"/>
      <c r="G212" s="470"/>
      <c r="H212" s="470"/>
      <c r="I212" s="470"/>
      <c r="J212" s="470"/>
      <c r="K212" s="470"/>
      <c r="L212" s="470"/>
      <c r="M212" s="470"/>
      <c r="N212" s="470"/>
      <c r="O212" s="470"/>
      <c r="P212" s="470"/>
      <c r="Q212" s="470"/>
      <c r="R212" s="471"/>
      <c r="S212" s="85"/>
      <c r="T212" s="102" t="s">
        <v>307</v>
      </c>
      <c r="U212" s="86" t="s">
        <v>354</v>
      </c>
      <c r="V212" s="180">
        <f>50000*20</f>
        <v>1000000</v>
      </c>
    </row>
    <row r="213" spans="1:22" ht="23.25" customHeight="1">
      <c r="A213" s="441"/>
      <c r="B213" s="417"/>
      <c r="C213" s="488"/>
      <c r="D213" s="469"/>
      <c r="E213" s="470"/>
      <c r="F213" s="470"/>
      <c r="G213" s="470"/>
      <c r="H213" s="470"/>
      <c r="I213" s="470"/>
      <c r="J213" s="470"/>
      <c r="K213" s="470"/>
      <c r="L213" s="470"/>
      <c r="M213" s="470"/>
      <c r="N213" s="470"/>
      <c r="O213" s="470"/>
      <c r="P213" s="470"/>
      <c r="Q213" s="470"/>
      <c r="R213" s="471"/>
      <c r="S213" s="85"/>
      <c r="T213" s="102" t="s">
        <v>260</v>
      </c>
      <c r="U213" s="86" t="s">
        <v>261</v>
      </c>
      <c r="V213" s="180">
        <f>440000*1</f>
        <v>440000</v>
      </c>
    </row>
    <row r="214" spans="1:22" ht="33">
      <c r="A214" s="441"/>
      <c r="B214" s="417"/>
      <c r="C214" s="495" t="s">
        <v>119</v>
      </c>
      <c r="D214" s="478">
        <v>420000</v>
      </c>
      <c r="E214" s="465">
        <v>420000</v>
      </c>
      <c r="F214" s="465">
        <v>420000</v>
      </c>
      <c r="G214" s="465">
        <v>420000</v>
      </c>
      <c r="H214" s="465">
        <v>420000</v>
      </c>
      <c r="I214" s="465">
        <v>420000</v>
      </c>
      <c r="J214" s="465">
        <v>100000</v>
      </c>
      <c r="K214" s="465">
        <v>100000</v>
      </c>
      <c r="L214" s="483">
        <v>3600000</v>
      </c>
      <c r="M214" s="483">
        <v>100000</v>
      </c>
      <c r="N214" s="483">
        <v>200000</v>
      </c>
      <c r="O214" s="483">
        <v>200000</v>
      </c>
      <c r="P214" s="483">
        <v>200000</v>
      </c>
      <c r="Q214" s="483">
        <f>SUM(V214:V214)</f>
        <v>100000</v>
      </c>
      <c r="R214" s="486">
        <f>Q214-P214</f>
        <v>-100000</v>
      </c>
      <c r="S214" s="81" t="s">
        <v>252</v>
      </c>
      <c r="T214" s="100" t="s">
        <v>254</v>
      </c>
      <c r="U214" s="82" t="s">
        <v>636</v>
      </c>
      <c r="V214" s="178">
        <f>50000*2</f>
        <v>100000</v>
      </c>
    </row>
    <row r="215" spans="1:22" ht="16.5">
      <c r="A215" s="441"/>
      <c r="B215" s="417"/>
      <c r="C215" s="649" t="s">
        <v>509</v>
      </c>
      <c r="D215" s="469"/>
      <c r="E215" s="470"/>
      <c r="F215" s="470"/>
      <c r="G215" s="470"/>
      <c r="H215" s="470"/>
      <c r="I215" s="470">
        <v>40924000</v>
      </c>
      <c r="J215" s="470">
        <v>68055000</v>
      </c>
      <c r="K215" s="470">
        <v>68055000</v>
      </c>
      <c r="L215" s="470">
        <v>68055000</v>
      </c>
      <c r="M215" s="470">
        <v>120250000</v>
      </c>
      <c r="N215" s="470">
        <v>120250000</v>
      </c>
      <c r="O215" s="470">
        <v>120250000</v>
      </c>
      <c r="P215" s="470">
        <v>120250000</v>
      </c>
      <c r="Q215" s="470">
        <f>SUM(V215:V216)</f>
        <v>122005000</v>
      </c>
      <c r="R215" s="471">
        <f>Q215-P215</f>
        <v>1755000</v>
      </c>
      <c r="S215" s="85" t="s">
        <v>0</v>
      </c>
      <c r="T215" s="472" t="s">
        <v>42</v>
      </c>
      <c r="U215" s="99" t="s">
        <v>562</v>
      </c>
      <c r="V215" s="180">
        <f>1877000*5*12</f>
        <v>112620000</v>
      </c>
    </row>
    <row r="216" spans="1:22" ht="16.5">
      <c r="A216" s="441"/>
      <c r="B216" s="417"/>
      <c r="C216" s="673"/>
      <c r="D216" s="475"/>
      <c r="E216" s="476"/>
      <c r="F216" s="476"/>
      <c r="G216" s="476"/>
      <c r="H216" s="476"/>
      <c r="I216" s="476"/>
      <c r="J216" s="476"/>
      <c r="K216" s="476"/>
      <c r="L216" s="476"/>
      <c r="M216" s="476"/>
      <c r="N216" s="476"/>
      <c r="O216" s="476"/>
      <c r="P216" s="476"/>
      <c r="Q216" s="476"/>
      <c r="R216" s="477"/>
      <c r="S216" s="89"/>
      <c r="T216" s="499" t="s">
        <v>340</v>
      </c>
      <c r="U216" s="440" t="s">
        <v>563</v>
      </c>
      <c r="V216" s="181">
        <f>1877000*1*5</f>
        <v>9385000</v>
      </c>
    </row>
    <row r="217" spans="1:22" ht="39.75" customHeight="1">
      <c r="A217" s="441"/>
      <c r="B217" s="417"/>
      <c r="C217" s="649" t="s">
        <v>510</v>
      </c>
      <c r="D217" s="469"/>
      <c r="E217" s="470"/>
      <c r="F217" s="470"/>
      <c r="G217" s="470"/>
      <c r="H217" s="470"/>
      <c r="I217" s="470">
        <v>22234000</v>
      </c>
      <c r="J217" s="470">
        <v>24710000</v>
      </c>
      <c r="K217" s="470">
        <v>24710000</v>
      </c>
      <c r="L217" s="470">
        <v>24710000</v>
      </c>
      <c r="M217" s="470">
        <v>25641000</v>
      </c>
      <c r="N217" s="470">
        <v>27535000</v>
      </c>
      <c r="O217" s="470">
        <v>27535000</v>
      </c>
      <c r="P217" s="470">
        <v>27535000</v>
      </c>
      <c r="Q217" s="470">
        <f>SUM(V217:V220)</f>
        <v>28060000</v>
      </c>
      <c r="R217" s="471">
        <f>Q217-P217</f>
        <v>525000</v>
      </c>
      <c r="S217" s="85"/>
      <c r="T217" s="472" t="s">
        <v>42</v>
      </c>
      <c r="U217" s="518" t="s">
        <v>565</v>
      </c>
      <c r="V217" s="180">
        <f>1877000*12</f>
        <v>22524000</v>
      </c>
    </row>
    <row r="218" spans="1:22" ht="23.25" customHeight="1">
      <c r="A218" s="441"/>
      <c r="B218" s="417"/>
      <c r="C218" s="650"/>
      <c r="D218" s="469"/>
      <c r="E218" s="470"/>
      <c r="F218" s="470"/>
      <c r="G218" s="470"/>
      <c r="H218" s="470"/>
      <c r="I218" s="470"/>
      <c r="J218" s="470"/>
      <c r="K218" s="470"/>
      <c r="L218" s="470"/>
      <c r="M218" s="470"/>
      <c r="N218" s="470"/>
      <c r="O218" s="470"/>
      <c r="P218" s="470"/>
      <c r="Q218" s="470"/>
      <c r="R218" s="471"/>
      <c r="S218" s="85"/>
      <c r="T218" s="472" t="s">
        <v>340</v>
      </c>
      <c r="U218" s="99" t="s">
        <v>567</v>
      </c>
      <c r="V218" s="180">
        <f>1877000*1+93850</f>
        <v>1970850</v>
      </c>
    </row>
    <row r="219" spans="1:22" ht="23.25" customHeight="1">
      <c r="A219" s="441"/>
      <c r="B219" s="417"/>
      <c r="C219" s="650"/>
      <c r="D219" s="469"/>
      <c r="E219" s="470"/>
      <c r="F219" s="470"/>
      <c r="G219" s="470"/>
      <c r="H219" s="470"/>
      <c r="I219" s="470"/>
      <c r="J219" s="470"/>
      <c r="K219" s="470"/>
      <c r="L219" s="470"/>
      <c r="M219" s="470"/>
      <c r="N219" s="470"/>
      <c r="O219" s="470"/>
      <c r="P219" s="470"/>
      <c r="Q219" s="470"/>
      <c r="R219" s="471"/>
      <c r="S219" s="85"/>
      <c r="T219" s="472" t="s">
        <v>511</v>
      </c>
      <c r="U219" s="99" t="s">
        <v>566</v>
      </c>
      <c r="V219" s="180">
        <f>1877000*60%*1</f>
        <v>1126200</v>
      </c>
    </row>
    <row r="220" spans="1:22" ht="23.25" customHeight="1">
      <c r="A220" s="441"/>
      <c r="B220" s="417"/>
      <c r="C220" s="673"/>
      <c r="D220" s="475"/>
      <c r="E220" s="476"/>
      <c r="F220" s="476"/>
      <c r="G220" s="476"/>
      <c r="H220" s="476"/>
      <c r="I220" s="476"/>
      <c r="J220" s="476"/>
      <c r="K220" s="476"/>
      <c r="L220" s="476"/>
      <c r="M220" s="476"/>
      <c r="N220" s="476"/>
      <c r="O220" s="476"/>
      <c r="P220" s="476"/>
      <c r="Q220" s="476"/>
      <c r="R220" s="477"/>
      <c r="S220" s="89"/>
      <c r="T220" s="499" t="s">
        <v>219</v>
      </c>
      <c r="U220" s="440" t="s">
        <v>568</v>
      </c>
      <c r="V220" s="181">
        <v>2438950</v>
      </c>
    </row>
    <row r="221" spans="1:22" ht="23.25" customHeight="1">
      <c r="A221" s="441"/>
      <c r="B221" s="417"/>
      <c r="C221" s="650" t="s">
        <v>512</v>
      </c>
      <c r="D221" s="469"/>
      <c r="E221" s="470"/>
      <c r="F221" s="470"/>
      <c r="G221" s="470"/>
      <c r="H221" s="470"/>
      <c r="I221" s="470">
        <v>37540000</v>
      </c>
      <c r="J221" s="470">
        <v>39400000</v>
      </c>
      <c r="K221" s="470">
        <v>39400000</v>
      </c>
      <c r="L221" s="470">
        <v>39400000</v>
      </c>
      <c r="M221" s="470">
        <v>39400000</v>
      </c>
      <c r="N221" s="470">
        <v>39832000</v>
      </c>
      <c r="O221" s="470">
        <v>39832000</v>
      </c>
      <c r="P221" s="470">
        <v>39832000</v>
      </c>
      <c r="Q221" s="470">
        <f>SUM(V221:V231)</f>
        <v>39832000</v>
      </c>
      <c r="R221" s="471">
        <f>Q221-P221</f>
        <v>0</v>
      </c>
      <c r="S221" s="85"/>
      <c r="T221" s="472" t="s">
        <v>513</v>
      </c>
      <c r="U221" s="99" t="s">
        <v>569</v>
      </c>
      <c r="V221" s="180">
        <f>40000*6</f>
        <v>240000</v>
      </c>
    </row>
    <row r="222" spans="1:22" ht="23.25" customHeight="1">
      <c r="A222" s="441"/>
      <c r="B222" s="417"/>
      <c r="C222" s="650"/>
      <c r="D222" s="469"/>
      <c r="E222" s="470"/>
      <c r="F222" s="470"/>
      <c r="G222" s="470"/>
      <c r="H222" s="470"/>
      <c r="I222" s="470"/>
      <c r="J222" s="470"/>
      <c r="K222" s="470"/>
      <c r="L222" s="470"/>
      <c r="M222" s="470"/>
      <c r="N222" s="470"/>
      <c r="O222" s="470"/>
      <c r="P222" s="470"/>
      <c r="Q222" s="470"/>
      <c r="R222" s="471"/>
      <c r="S222" s="85"/>
      <c r="T222" s="472" t="s">
        <v>514</v>
      </c>
      <c r="U222" s="99" t="s">
        <v>570</v>
      </c>
      <c r="V222" s="180">
        <f>200000*1</f>
        <v>200000</v>
      </c>
    </row>
    <row r="223" spans="1:22" ht="23.25" customHeight="1">
      <c r="A223" s="441"/>
      <c r="B223" s="417"/>
      <c r="C223" s="479"/>
      <c r="D223" s="469"/>
      <c r="E223" s="470"/>
      <c r="F223" s="470"/>
      <c r="G223" s="470"/>
      <c r="H223" s="470"/>
      <c r="I223" s="470"/>
      <c r="J223" s="470"/>
      <c r="K223" s="470"/>
      <c r="L223" s="470"/>
      <c r="M223" s="470"/>
      <c r="N223" s="470"/>
      <c r="O223" s="470"/>
      <c r="P223" s="470"/>
      <c r="Q223" s="470"/>
      <c r="R223" s="471"/>
      <c r="S223" s="85"/>
      <c r="T223" s="472"/>
      <c r="U223" s="99" t="s">
        <v>571</v>
      </c>
      <c r="V223" s="180">
        <f>2500*140</f>
        <v>350000</v>
      </c>
    </row>
    <row r="224" spans="1:22" ht="23.25" customHeight="1">
      <c r="A224" s="441"/>
      <c r="B224" s="417"/>
      <c r="C224" s="479"/>
      <c r="D224" s="469"/>
      <c r="E224" s="470"/>
      <c r="F224" s="470"/>
      <c r="G224" s="470"/>
      <c r="H224" s="470"/>
      <c r="I224" s="470"/>
      <c r="J224" s="470"/>
      <c r="K224" s="470"/>
      <c r="L224" s="470"/>
      <c r="M224" s="470"/>
      <c r="N224" s="470"/>
      <c r="O224" s="470"/>
      <c r="P224" s="470"/>
      <c r="Q224" s="470"/>
      <c r="R224" s="471"/>
      <c r="S224" s="85"/>
      <c r="T224" s="472" t="s">
        <v>515</v>
      </c>
      <c r="U224" s="99" t="s">
        <v>572</v>
      </c>
      <c r="V224" s="180">
        <f>80000*2*23</f>
        <v>3680000</v>
      </c>
    </row>
    <row r="225" spans="1:22" ht="23.25" customHeight="1">
      <c r="A225" s="441"/>
      <c r="B225" s="417"/>
      <c r="C225" s="479"/>
      <c r="D225" s="469"/>
      <c r="E225" s="470"/>
      <c r="F225" s="470"/>
      <c r="G225" s="470"/>
      <c r="H225" s="470"/>
      <c r="I225" s="470"/>
      <c r="J225" s="470"/>
      <c r="K225" s="470"/>
      <c r="L225" s="470"/>
      <c r="M225" s="470"/>
      <c r="N225" s="470"/>
      <c r="O225" s="470"/>
      <c r="P225" s="470"/>
      <c r="Q225" s="470"/>
      <c r="R225" s="471"/>
      <c r="S225" s="85"/>
      <c r="T225" s="472"/>
      <c r="U225" s="99" t="s">
        <v>573</v>
      </c>
      <c r="V225" s="180">
        <f>2500*120*23</f>
        <v>6900000</v>
      </c>
    </row>
    <row r="226" spans="1:22" ht="23.25" customHeight="1">
      <c r="A226" s="441"/>
      <c r="B226" s="417"/>
      <c r="C226" s="479"/>
      <c r="D226" s="469"/>
      <c r="E226" s="470"/>
      <c r="F226" s="470"/>
      <c r="G226" s="470"/>
      <c r="H226" s="470"/>
      <c r="I226" s="470"/>
      <c r="J226" s="470"/>
      <c r="K226" s="470"/>
      <c r="L226" s="470"/>
      <c r="M226" s="470"/>
      <c r="N226" s="470"/>
      <c r="O226" s="470"/>
      <c r="P226" s="470"/>
      <c r="Q226" s="470"/>
      <c r="R226" s="471"/>
      <c r="S226" s="85"/>
      <c r="T226" s="472" t="s">
        <v>516</v>
      </c>
      <c r="U226" s="99" t="s">
        <v>517</v>
      </c>
      <c r="V226" s="180">
        <f>4000000*3</f>
        <v>12000000</v>
      </c>
    </row>
    <row r="227" spans="1:22" ht="23.25" customHeight="1">
      <c r="A227" s="441"/>
      <c r="B227" s="417"/>
      <c r="C227" s="479"/>
      <c r="D227" s="469"/>
      <c r="E227" s="470"/>
      <c r="F227" s="470"/>
      <c r="G227" s="470"/>
      <c r="H227" s="470"/>
      <c r="I227" s="470"/>
      <c r="J227" s="470"/>
      <c r="K227" s="470"/>
      <c r="L227" s="470"/>
      <c r="M227" s="470"/>
      <c r="N227" s="470"/>
      <c r="O227" s="470"/>
      <c r="P227" s="470"/>
      <c r="Q227" s="470"/>
      <c r="R227" s="471"/>
      <c r="S227" s="85"/>
      <c r="T227" s="472" t="s">
        <v>518</v>
      </c>
      <c r="U227" s="99" t="s">
        <v>519</v>
      </c>
      <c r="V227" s="180">
        <f>13000000*1</f>
        <v>13000000</v>
      </c>
    </row>
    <row r="228" spans="1:22" ht="23.25" customHeight="1">
      <c r="A228" s="441"/>
      <c r="B228" s="417"/>
      <c r="C228" s="479"/>
      <c r="D228" s="469"/>
      <c r="E228" s="470"/>
      <c r="F228" s="470"/>
      <c r="G228" s="470"/>
      <c r="H228" s="470"/>
      <c r="I228" s="470"/>
      <c r="J228" s="470"/>
      <c r="K228" s="470"/>
      <c r="L228" s="470"/>
      <c r="M228" s="470"/>
      <c r="N228" s="470"/>
      <c r="O228" s="470"/>
      <c r="P228" s="470"/>
      <c r="Q228" s="470"/>
      <c r="R228" s="471"/>
      <c r="S228" s="85"/>
      <c r="T228" s="472" t="s">
        <v>520</v>
      </c>
      <c r="U228" s="99" t="s">
        <v>574</v>
      </c>
      <c r="V228" s="180">
        <f>1842000*1</f>
        <v>1842000</v>
      </c>
    </row>
    <row r="229" spans="1:22" ht="23.25" customHeight="1">
      <c r="A229" s="441"/>
      <c r="B229" s="417"/>
      <c r="C229" s="479"/>
      <c r="D229" s="469"/>
      <c r="E229" s="470"/>
      <c r="F229" s="470"/>
      <c r="G229" s="470"/>
      <c r="H229" s="470"/>
      <c r="I229" s="470"/>
      <c r="J229" s="470"/>
      <c r="K229" s="470"/>
      <c r="L229" s="470"/>
      <c r="M229" s="470"/>
      <c r="N229" s="470"/>
      <c r="O229" s="470"/>
      <c r="P229" s="470"/>
      <c r="Q229" s="470"/>
      <c r="R229" s="471"/>
      <c r="S229" s="85"/>
      <c r="T229" s="472" t="s">
        <v>23</v>
      </c>
      <c r="U229" s="99" t="s">
        <v>575</v>
      </c>
      <c r="V229" s="180">
        <f>30000*8</f>
        <v>240000</v>
      </c>
    </row>
    <row r="230" spans="1:22" ht="23.25" customHeight="1">
      <c r="A230" s="441"/>
      <c r="B230" s="417"/>
      <c r="C230" s="479"/>
      <c r="D230" s="469"/>
      <c r="E230" s="470"/>
      <c r="F230" s="470"/>
      <c r="G230" s="470"/>
      <c r="H230" s="470"/>
      <c r="I230" s="470"/>
      <c r="J230" s="470"/>
      <c r="K230" s="470"/>
      <c r="L230" s="470"/>
      <c r="M230" s="470"/>
      <c r="N230" s="470"/>
      <c r="O230" s="470"/>
      <c r="P230" s="470"/>
      <c r="Q230" s="470"/>
      <c r="R230" s="471"/>
      <c r="S230" s="85"/>
      <c r="T230" s="472" t="s">
        <v>8</v>
      </c>
      <c r="U230" s="99" t="s">
        <v>576</v>
      </c>
      <c r="V230" s="180">
        <f>15000*40</f>
        <v>600000</v>
      </c>
    </row>
    <row r="231" spans="1:22" ht="23.25" customHeight="1">
      <c r="A231" s="441"/>
      <c r="B231" s="417"/>
      <c r="C231" s="498"/>
      <c r="D231" s="475"/>
      <c r="E231" s="476"/>
      <c r="F231" s="476"/>
      <c r="G231" s="476"/>
      <c r="H231" s="476"/>
      <c r="I231" s="476"/>
      <c r="J231" s="476"/>
      <c r="K231" s="476"/>
      <c r="L231" s="476"/>
      <c r="M231" s="476"/>
      <c r="N231" s="476"/>
      <c r="O231" s="476"/>
      <c r="P231" s="476"/>
      <c r="Q231" s="476"/>
      <c r="R231" s="477"/>
      <c r="S231" s="89"/>
      <c r="T231" s="499"/>
      <c r="U231" s="440" t="s">
        <v>521</v>
      </c>
      <c r="V231" s="181">
        <v>780000</v>
      </c>
    </row>
    <row r="232" spans="1:22" ht="33">
      <c r="A232" s="441"/>
      <c r="B232" s="417"/>
      <c r="C232" s="500" t="s">
        <v>522</v>
      </c>
      <c r="D232" s="482"/>
      <c r="E232" s="483"/>
      <c r="F232" s="483"/>
      <c r="G232" s="483"/>
      <c r="H232" s="483"/>
      <c r="I232" s="483">
        <v>657000</v>
      </c>
      <c r="J232" s="483">
        <v>10000000</v>
      </c>
      <c r="K232" s="483">
        <v>10000000</v>
      </c>
      <c r="L232" s="483">
        <v>10000000</v>
      </c>
      <c r="M232" s="483">
        <v>0</v>
      </c>
      <c r="N232" s="483">
        <v>0</v>
      </c>
      <c r="O232" s="483">
        <v>0</v>
      </c>
      <c r="P232" s="483">
        <v>0</v>
      </c>
      <c r="Q232" s="483">
        <f>V232</f>
        <v>0</v>
      </c>
      <c r="R232" s="486">
        <f>Q232-P232</f>
        <v>0</v>
      </c>
      <c r="S232" s="89"/>
      <c r="T232" s="499"/>
      <c r="U232" s="440"/>
      <c r="V232" s="181">
        <v>0</v>
      </c>
    </row>
    <row r="233" spans="1:22" ht="16.5">
      <c r="A233" s="441"/>
      <c r="B233" s="417"/>
      <c r="C233" s="649" t="s">
        <v>523</v>
      </c>
      <c r="D233" s="478"/>
      <c r="E233" s="465"/>
      <c r="F233" s="465"/>
      <c r="G233" s="465"/>
      <c r="H233" s="465"/>
      <c r="I233" s="465"/>
      <c r="J233" s="465"/>
      <c r="K233" s="465"/>
      <c r="L233" s="465">
        <v>0</v>
      </c>
      <c r="M233" s="465">
        <v>5400000</v>
      </c>
      <c r="N233" s="465">
        <v>5400000</v>
      </c>
      <c r="O233" s="465">
        <v>5400000</v>
      </c>
      <c r="P233" s="465">
        <v>5400000</v>
      </c>
      <c r="Q233" s="465">
        <f>SUM(V233:V253)</f>
        <v>8000000</v>
      </c>
      <c r="R233" s="501">
        <f>Q233-P233</f>
        <v>2600000</v>
      </c>
      <c r="S233" s="85" t="s">
        <v>524</v>
      </c>
      <c r="T233" s="472" t="s">
        <v>525</v>
      </c>
      <c r="U233" s="99" t="s">
        <v>582</v>
      </c>
      <c r="V233" s="180">
        <f>55000*4</f>
        <v>220000</v>
      </c>
    </row>
    <row r="234" spans="1:22" ht="31.5" customHeight="1">
      <c r="A234" s="441"/>
      <c r="B234" s="417"/>
      <c r="C234" s="650"/>
      <c r="D234" s="469"/>
      <c r="E234" s="470"/>
      <c r="F234" s="470"/>
      <c r="G234" s="470"/>
      <c r="H234" s="470"/>
      <c r="I234" s="470"/>
      <c r="J234" s="470"/>
      <c r="K234" s="470"/>
      <c r="L234" s="470"/>
      <c r="M234" s="470"/>
      <c r="N234" s="470"/>
      <c r="O234" s="470"/>
      <c r="P234" s="470"/>
      <c r="Q234" s="470"/>
      <c r="R234" s="474"/>
      <c r="S234" s="85" t="s">
        <v>535</v>
      </c>
      <c r="T234" s="472" t="s">
        <v>491</v>
      </c>
      <c r="U234" s="99" t="s">
        <v>583</v>
      </c>
      <c r="V234" s="180">
        <f>80000*3</f>
        <v>240000</v>
      </c>
    </row>
    <row r="235" spans="1:22" ht="31.5" customHeight="1">
      <c r="A235" s="441"/>
      <c r="B235" s="417"/>
      <c r="C235" s="479"/>
      <c r="D235" s="469"/>
      <c r="E235" s="470"/>
      <c r="F235" s="470"/>
      <c r="G235" s="470"/>
      <c r="H235" s="470"/>
      <c r="I235" s="470"/>
      <c r="J235" s="470"/>
      <c r="K235" s="470"/>
      <c r="L235" s="470"/>
      <c r="M235" s="470"/>
      <c r="N235" s="470"/>
      <c r="O235" s="470"/>
      <c r="P235" s="470"/>
      <c r="Q235" s="470"/>
      <c r="R235" s="474"/>
      <c r="S235" s="85"/>
      <c r="T235" s="472" t="s">
        <v>491</v>
      </c>
      <c r="U235" s="99" t="s">
        <v>584</v>
      </c>
      <c r="V235" s="180">
        <f>240000*6</f>
        <v>1440000</v>
      </c>
    </row>
    <row r="236" spans="1:22" ht="31.5" customHeight="1">
      <c r="A236" s="441"/>
      <c r="B236" s="417"/>
      <c r="C236" s="479"/>
      <c r="D236" s="469"/>
      <c r="E236" s="470"/>
      <c r="F236" s="470"/>
      <c r="G236" s="470"/>
      <c r="H236" s="470"/>
      <c r="I236" s="470"/>
      <c r="J236" s="470"/>
      <c r="K236" s="470"/>
      <c r="L236" s="470"/>
      <c r="M236" s="470"/>
      <c r="N236" s="470"/>
      <c r="O236" s="470"/>
      <c r="P236" s="470"/>
      <c r="Q236" s="470"/>
      <c r="R236" s="474"/>
      <c r="S236" s="85"/>
      <c r="T236" s="472" t="s">
        <v>491</v>
      </c>
      <c r="U236" s="99" t="s">
        <v>585</v>
      </c>
      <c r="V236" s="180">
        <f>240000*3</f>
        <v>720000</v>
      </c>
    </row>
    <row r="237" spans="1:22" ht="31.5" customHeight="1">
      <c r="A237" s="441"/>
      <c r="B237" s="417"/>
      <c r="C237" s="479"/>
      <c r="D237" s="469"/>
      <c r="E237" s="470"/>
      <c r="F237" s="470"/>
      <c r="G237" s="470"/>
      <c r="H237" s="470"/>
      <c r="I237" s="470"/>
      <c r="J237" s="470"/>
      <c r="K237" s="470"/>
      <c r="L237" s="470"/>
      <c r="M237" s="470"/>
      <c r="N237" s="470"/>
      <c r="O237" s="470"/>
      <c r="P237" s="470"/>
      <c r="Q237" s="470"/>
      <c r="R237" s="474"/>
      <c r="S237" s="85"/>
      <c r="T237" s="472" t="s">
        <v>586</v>
      </c>
      <c r="U237" s="99" t="s">
        <v>587</v>
      </c>
      <c r="V237" s="180">
        <f>240000*2</f>
        <v>480000</v>
      </c>
    </row>
    <row r="238" spans="1:22" ht="31.5" customHeight="1">
      <c r="A238" s="441"/>
      <c r="B238" s="417"/>
      <c r="C238" s="479"/>
      <c r="D238" s="469"/>
      <c r="E238" s="470"/>
      <c r="F238" s="470"/>
      <c r="G238" s="470"/>
      <c r="H238" s="470"/>
      <c r="I238" s="470"/>
      <c r="J238" s="470"/>
      <c r="K238" s="470"/>
      <c r="L238" s="470"/>
      <c r="M238" s="470"/>
      <c r="N238" s="470"/>
      <c r="O238" s="470"/>
      <c r="P238" s="470"/>
      <c r="Q238" s="470"/>
      <c r="R238" s="474"/>
      <c r="S238" s="85"/>
      <c r="T238" s="472"/>
      <c r="U238" s="99" t="s">
        <v>588</v>
      </c>
      <c r="V238" s="180">
        <f>10000*20*2</f>
        <v>400000</v>
      </c>
    </row>
    <row r="239" spans="1:22" ht="31.5" customHeight="1">
      <c r="A239" s="441"/>
      <c r="B239" s="417"/>
      <c r="C239" s="479"/>
      <c r="D239" s="469"/>
      <c r="E239" s="470"/>
      <c r="F239" s="470"/>
      <c r="G239" s="470"/>
      <c r="H239" s="470"/>
      <c r="I239" s="470"/>
      <c r="J239" s="470"/>
      <c r="K239" s="470"/>
      <c r="L239" s="470"/>
      <c r="M239" s="470"/>
      <c r="N239" s="470"/>
      <c r="O239" s="470"/>
      <c r="P239" s="470"/>
      <c r="Q239" s="470"/>
      <c r="R239" s="474"/>
      <c r="S239" s="85"/>
      <c r="T239" s="472"/>
      <c r="U239" s="99" t="s">
        <v>589</v>
      </c>
      <c r="V239" s="180">
        <f>10000*20*2</f>
        <v>400000</v>
      </c>
    </row>
    <row r="240" spans="1:22" ht="31.5" customHeight="1">
      <c r="A240" s="441"/>
      <c r="B240" s="417"/>
      <c r="C240" s="479"/>
      <c r="D240" s="469"/>
      <c r="E240" s="470"/>
      <c r="F240" s="470"/>
      <c r="G240" s="470"/>
      <c r="H240" s="470"/>
      <c r="I240" s="470"/>
      <c r="J240" s="470"/>
      <c r="K240" s="470"/>
      <c r="L240" s="470"/>
      <c r="M240" s="470"/>
      <c r="N240" s="470"/>
      <c r="O240" s="470"/>
      <c r="P240" s="470"/>
      <c r="Q240" s="470"/>
      <c r="R240" s="474"/>
      <c r="S240" s="85"/>
      <c r="T240" s="472"/>
      <c r="U240" s="99" t="s">
        <v>590</v>
      </c>
      <c r="V240" s="180">
        <f>50000*2</f>
        <v>100000</v>
      </c>
    </row>
    <row r="241" spans="1:22" ht="31.5" customHeight="1">
      <c r="A241" s="441"/>
      <c r="B241" s="417"/>
      <c r="C241" s="479"/>
      <c r="D241" s="469"/>
      <c r="E241" s="470"/>
      <c r="F241" s="470"/>
      <c r="G241" s="470"/>
      <c r="H241" s="470"/>
      <c r="I241" s="470"/>
      <c r="J241" s="470"/>
      <c r="K241" s="470"/>
      <c r="L241" s="470"/>
      <c r="M241" s="470"/>
      <c r="N241" s="470"/>
      <c r="O241" s="470"/>
      <c r="P241" s="470"/>
      <c r="Q241" s="470"/>
      <c r="R241" s="474"/>
      <c r="S241" s="85"/>
      <c r="T241" s="472" t="s">
        <v>591</v>
      </c>
      <c r="U241" s="99" t="s">
        <v>592</v>
      </c>
      <c r="V241" s="180">
        <f>30000*20</f>
        <v>600000</v>
      </c>
    </row>
    <row r="242" spans="1:22" ht="31.5" customHeight="1">
      <c r="A242" s="441"/>
      <c r="B242" s="417"/>
      <c r="C242" s="479"/>
      <c r="D242" s="469"/>
      <c r="E242" s="470"/>
      <c r="F242" s="470"/>
      <c r="G242" s="470"/>
      <c r="H242" s="470"/>
      <c r="I242" s="470"/>
      <c r="J242" s="470"/>
      <c r="K242" s="470"/>
      <c r="L242" s="470"/>
      <c r="M242" s="470"/>
      <c r="N242" s="470"/>
      <c r="O242" s="470"/>
      <c r="P242" s="470"/>
      <c r="Q242" s="470"/>
      <c r="R242" s="474"/>
      <c r="S242" s="85" t="s">
        <v>478</v>
      </c>
      <c r="T242" s="472" t="s">
        <v>593</v>
      </c>
      <c r="U242" s="99" t="s">
        <v>594</v>
      </c>
      <c r="V242" s="180">
        <f>50000*2</f>
        <v>100000</v>
      </c>
    </row>
    <row r="243" spans="1:22" ht="31.5" customHeight="1">
      <c r="A243" s="441"/>
      <c r="B243" s="417"/>
      <c r="C243" s="479"/>
      <c r="D243" s="469"/>
      <c r="E243" s="470"/>
      <c r="F243" s="470"/>
      <c r="G243" s="470"/>
      <c r="H243" s="470"/>
      <c r="I243" s="470"/>
      <c r="J243" s="470"/>
      <c r="K243" s="470"/>
      <c r="L243" s="470"/>
      <c r="M243" s="470"/>
      <c r="N243" s="470"/>
      <c r="O243" s="470"/>
      <c r="P243" s="470"/>
      <c r="Q243" s="470"/>
      <c r="R243" s="474"/>
      <c r="S243" s="85"/>
      <c r="T243" s="472"/>
      <c r="U243" s="99" t="s">
        <v>595</v>
      </c>
      <c r="V243" s="180">
        <f>30000*15</f>
        <v>450000</v>
      </c>
    </row>
    <row r="244" spans="1:22" ht="31.5" customHeight="1">
      <c r="A244" s="441"/>
      <c r="B244" s="417"/>
      <c r="C244" s="479"/>
      <c r="D244" s="469"/>
      <c r="E244" s="470"/>
      <c r="F244" s="470"/>
      <c r="G244" s="470"/>
      <c r="H244" s="470"/>
      <c r="I244" s="470"/>
      <c r="J244" s="470"/>
      <c r="K244" s="470"/>
      <c r="L244" s="470"/>
      <c r="M244" s="470"/>
      <c r="N244" s="470"/>
      <c r="O244" s="470"/>
      <c r="P244" s="470"/>
      <c r="Q244" s="470"/>
      <c r="R244" s="474"/>
      <c r="S244" s="85"/>
      <c r="T244" s="472" t="s">
        <v>596</v>
      </c>
      <c r="U244" s="99" t="s">
        <v>597</v>
      </c>
      <c r="V244" s="180">
        <f>100000*2</f>
        <v>200000</v>
      </c>
    </row>
    <row r="245" spans="1:22" ht="31.5" customHeight="1">
      <c r="A245" s="441"/>
      <c r="B245" s="417"/>
      <c r="C245" s="479"/>
      <c r="D245" s="469"/>
      <c r="E245" s="470"/>
      <c r="F245" s="470"/>
      <c r="G245" s="470"/>
      <c r="H245" s="470"/>
      <c r="I245" s="470"/>
      <c r="J245" s="470"/>
      <c r="K245" s="470"/>
      <c r="L245" s="470"/>
      <c r="M245" s="470"/>
      <c r="N245" s="470"/>
      <c r="O245" s="470"/>
      <c r="P245" s="470"/>
      <c r="Q245" s="470"/>
      <c r="R245" s="474"/>
      <c r="S245" s="85"/>
      <c r="T245" s="472"/>
      <c r="U245" s="99" t="s">
        <v>598</v>
      </c>
      <c r="V245" s="180">
        <f>250000*2</f>
        <v>500000</v>
      </c>
    </row>
    <row r="246" spans="1:22" ht="31.5" customHeight="1">
      <c r="A246" s="441"/>
      <c r="B246" s="417"/>
      <c r="C246" s="479"/>
      <c r="D246" s="469"/>
      <c r="E246" s="470"/>
      <c r="F246" s="470"/>
      <c r="G246" s="470"/>
      <c r="H246" s="470"/>
      <c r="I246" s="470"/>
      <c r="J246" s="470"/>
      <c r="K246" s="470"/>
      <c r="L246" s="470"/>
      <c r="M246" s="470"/>
      <c r="N246" s="470"/>
      <c r="O246" s="470"/>
      <c r="P246" s="470"/>
      <c r="Q246" s="470"/>
      <c r="R246" s="474"/>
      <c r="S246" s="85"/>
      <c r="T246" s="472" t="s">
        <v>599</v>
      </c>
      <c r="U246" s="99" t="s">
        <v>600</v>
      </c>
      <c r="V246" s="180">
        <f>30000*15</f>
        <v>450000</v>
      </c>
    </row>
    <row r="247" spans="1:22" ht="31.5" customHeight="1">
      <c r="A247" s="441"/>
      <c r="B247" s="417"/>
      <c r="C247" s="479"/>
      <c r="D247" s="469"/>
      <c r="E247" s="470"/>
      <c r="F247" s="470"/>
      <c r="G247" s="470"/>
      <c r="H247" s="470"/>
      <c r="I247" s="470"/>
      <c r="J247" s="470"/>
      <c r="K247" s="470"/>
      <c r="L247" s="470"/>
      <c r="M247" s="470"/>
      <c r="N247" s="470"/>
      <c r="O247" s="470"/>
      <c r="P247" s="470"/>
      <c r="Q247" s="470"/>
      <c r="R247" s="474"/>
      <c r="S247" s="85"/>
      <c r="T247" s="472" t="s">
        <v>601</v>
      </c>
      <c r="U247" s="99" t="s">
        <v>602</v>
      </c>
      <c r="V247" s="180">
        <f>10000*40*1</f>
        <v>400000</v>
      </c>
    </row>
    <row r="248" spans="1:22" ht="31.5" customHeight="1">
      <c r="A248" s="441"/>
      <c r="B248" s="417"/>
      <c r="C248" s="479"/>
      <c r="D248" s="469"/>
      <c r="E248" s="470"/>
      <c r="F248" s="470"/>
      <c r="G248" s="470"/>
      <c r="H248" s="470"/>
      <c r="I248" s="470"/>
      <c r="J248" s="470"/>
      <c r="K248" s="470"/>
      <c r="L248" s="470"/>
      <c r="M248" s="470"/>
      <c r="N248" s="470"/>
      <c r="O248" s="470"/>
      <c r="P248" s="470"/>
      <c r="Q248" s="470"/>
      <c r="R248" s="474"/>
      <c r="S248" s="85"/>
      <c r="T248" s="472"/>
      <c r="U248" s="99" t="s">
        <v>603</v>
      </c>
      <c r="V248" s="180">
        <f>10000*40*1</f>
        <v>400000</v>
      </c>
    </row>
    <row r="249" spans="1:22" ht="31.5" customHeight="1">
      <c r="A249" s="441"/>
      <c r="B249" s="417"/>
      <c r="C249" s="479"/>
      <c r="D249" s="469"/>
      <c r="E249" s="470"/>
      <c r="F249" s="470"/>
      <c r="G249" s="470"/>
      <c r="H249" s="470"/>
      <c r="I249" s="470"/>
      <c r="J249" s="470"/>
      <c r="K249" s="470"/>
      <c r="L249" s="470"/>
      <c r="M249" s="470"/>
      <c r="N249" s="470"/>
      <c r="O249" s="470"/>
      <c r="P249" s="470"/>
      <c r="Q249" s="470"/>
      <c r="R249" s="474"/>
      <c r="S249" s="85"/>
      <c r="T249" s="472"/>
      <c r="U249" s="99" t="s">
        <v>590</v>
      </c>
      <c r="V249" s="180">
        <f>50000*2</f>
        <v>100000</v>
      </c>
    </row>
    <row r="250" spans="1:22" ht="31.5" customHeight="1">
      <c r="A250" s="441"/>
      <c r="B250" s="417"/>
      <c r="C250" s="479"/>
      <c r="D250" s="469"/>
      <c r="E250" s="470"/>
      <c r="F250" s="470"/>
      <c r="G250" s="470"/>
      <c r="H250" s="470"/>
      <c r="I250" s="470"/>
      <c r="J250" s="470"/>
      <c r="K250" s="470"/>
      <c r="L250" s="470"/>
      <c r="M250" s="470"/>
      <c r="N250" s="470"/>
      <c r="O250" s="470"/>
      <c r="P250" s="470"/>
      <c r="Q250" s="470"/>
      <c r="R250" s="474"/>
      <c r="S250" s="85"/>
      <c r="T250" s="472" t="s">
        <v>604</v>
      </c>
      <c r="U250" s="99" t="s">
        <v>605</v>
      </c>
      <c r="V250" s="180">
        <f>10000*35</f>
        <v>350000</v>
      </c>
    </row>
    <row r="251" spans="1:22" ht="31.5" customHeight="1">
      <c r="A251" s="441"/>
      <c r="B251" s="417"/>
      <c r="C251" s="479"/>
      <c r="D251" s="469"/>
      <c r="E251" s="470"/>
      <c r="F251" s="470"/>
      <c r="G251" s="470"/>
      <c r="H251" s="470"/>
      <c r="I251" s="470"/>
      <c r="J251" s="470"/>
      <c r="K251" s="470"/>
      <c r="L251" s="470"/>
      <c r="M251" s="470"/>
      <c r="N251" s="470"/>
      <c r="O251" s="470"/>
      <c r="P251" s="470"/>
      <c r="Q251" s="470"/>
      <c r="R251" s="474"/>
      <c r="S251" s="85" t="s">
        <v>526</v>
      </c>
      <c r="T251" s="472" t="s">
        <v>8</v>
      </c>
      <c r="U251" s="99" t="s">
        <v>606</v>
      </c>
      <c r="V251" s="180">
        <f>50000*2</f>
        <v>100000</v>
      </c>
    </row>
    <row r="252" spans="1:22" ht="31.5" customHeight="1">
      <c r="A252" s="441"/>
      <c r="B252" s="417"/>
      <c r="C252" s="479"/>
      <c r="D252" s="469"/>
      <c r="E252" s="470"/>
      <c r="F252" s="470"/>
      <c r="G252" s="470"/>
      <c r="H252" s="470"/>
      <c r="I252" s="470"/>
      <c r="J252" s="470"/>
      <c r="K252" s="470"/>
      <c r="L252" s="470"/>
      <c r="M252" s="470"/>
      <c r="N252" s="470"/>
      <c r="O252" s="470"/>
      <c r="P252" s="470"/>
      <c r="Q252" s="470"/>
      <c r="R252" s="474"/>
      <c r="S252" s="85"/>
      <c r="T252" s="472"/>
      <c r="U252" s="99" t="s">
        <v>607</v>
      </c>
      <c r="V252" s="180">
        <f>5000*15*2</f>
        <v>150000</v>
      </c>
    </row>
    <row r="253" spans="1:22" ht="31.5" customHeight="1">
      <c r="A253" s="441"/>
      <c r="B253" s="417"/>
      <c r="C253" s="479"/>
      <c r="D253" s="469"/>
      <c r="E253" s="470"/>
      <c r="F253" s="470"/>
      <c r="G253" s="470"/>
      <c r="H253" s="470"/>
      <c r="I253" s="470"/>
      <c r="J253" s="470"/>
      <c r="K253" s="470"/>
      <c r="L253" s="470"/>
      <c r="M253" s="470"/>
      <c r="N253" s="470"/>
      <c r="O253" s="470"/>
      <c r="P253" s="470"/>
      <c r="Q253" s="470"/>
      <c r="R253" s="474"/>
      <c r="S253" s="85"/>
      <c r="T253" s="472"/>
      <c r="U253" s="99" t="s">
        <v>608</v>
      </c>
      <c r="V253" s="180">
        <f>5000*20*2</f>
        <v>200000</v>
      </c>
    </row>
    <row r="254" spans="1:22" ht="31.5" customHeight="1">
      <c r="A254" s="441"/>
      <c r="B254" s="417"/>
      <c r="C254" s="495" t="s">
        <v>527</v>
      </c>
      <c r="D254" s="478"/>
      <c r="E254" s="465"/>
      <c r="F254" s="465"/>
      <c r="G254" s="465"/>
      <c r="H254" s="465"/>
      <c r="I254" s="465">
        <v>0</v>
      </c>
      <c r="J254" s="465">
        <v>0</v>
      </c>
      <c r="K254" s="465">
        <v>41088000</v>
      </c>
      <c r="L254" s="465">
        <v>41088400</v>
      </c>
      <c r="M254" s="465">
        <v>22966000</v>
      </c>
      <c r="N254" s="465">
        <v>23067000</v>
      </c>
      <c r="O254" s="465">
        <v>23067000</v>
      </c>
      <c r="P254" s="465">
        <v>23067000</v>
      </c>
      <c r="Q254" s="465">
        <f>SUM(V254:V254)</f>
        <v>0</v>
      </c>
      <c r="R254" s="501">
        <f>Q254-P254</f>
        <v>-23067000</v>
      </c>
      <c r="S254" s="83"/>
      <c r="T254" s="467"/>
      <c r="U254" s="468"/>
      <c r="V254" s="179"/>
    </row>
    <row r="255" spans="1:22" ht="33" customHeight="1">
      <c r="A255" s="441"/>
      <c r="B255" s="417"/>
      <c r="C255" s="495" t="s">
        <v>438</v>
      </c>
      <c r="D255" s="478"/>
      <c r="E255" s="465"/>
      <c r="F255" s="465"/>
      <c r="G255" s="465"/>
      <c r="H255" s="465"/>
      <c r="I255" s="465"/>
      <c r="J255" s="465">
        <v>0</v>
      </c>
      <c r="K255" s="465">
        <v>0</v>
      </c>
      <c r="L255" s="465">
        <v>86490000</v>
      </c>
      <c r="M255" s="465">
        <v>39540000</v>
      </c>
      <c r="N255" s="465">
        <v>39540000</v>
      </c>
      <c r="O255" s="465">
        <v>39540000</v>
      </c>
      <c r="P255" s="465">
        <v>39540000</v>
      </c>
      <c r="Q255" s="465">
        <f>SUM(V255:V260)</f>
        <v>36930000</v>
      </c>
      <c r="R255" s="466">
        <f>Q255-P255</f>
        <v>-2610000</v>
      </c>
      <c r="S255" s="83" t="s">
        <v>528</v>
      </c>
      <c r="T255" s="467" t="s">
        <v>42</v>
      </c>
      <c r="U255" s="468" t="s">
        <v>577</v>
      </c>
      <c r="V255" s="179">
        <f>ROUNDUP(1822480*1*12,-3)</f>
        <v>21870000</v>
      </c>
    </row>
    <row r="256" spans="1:22" ht="32.25" customHeight="1">
      <c r="A256" s="441"/>
      <c r="B256" s="417"/>
      <c r="C256" s="479"/>
      <c r="D256" s="469"/>
      <c r="E256" s="470"/>
      <c r="F256" s="470"/>
      <c r="G256" s="470"/>
      <c r="H256" s="470"/>
      <c r="I256" s="470"/>
      <c r="J256" s="470"/>
      <c r="K256" s="470"/>
      <c r="L256" s="470"/>
      <c r="M256" s="470"/>
      <c r="N256" s="470"/>
      <c r="O256" s="470"/>
      <c r="P256" s="470"/>
      <c r="Q256" s="470"/>
      <c r="R256" s="471"/>
      <c r="S256" s="85"/>
      <c r="T256" s="472"/>
      <c r="U256" s="99" t="s">
        <v>578</v>
      </c>
      <c r="V256" s="180">
        <f>4300000</f>
        <v>4300000</v>
      </c>
    </row>
    <row r="257" spans="1:22" ht="32.25" customHeight="1">
      <c r="A257" s="441"/>
      <c r="B257" s="417"/>
      <c r="C257" s="479"/>
      <c r="D257" s="469"/>
      <c r="E257" s="470"/>
      <c r="F257" s="470"/>
      <c r="G257" s="470"/>
      <c r="H257" s="470"/>
      <c r="I257" s="470"/>
      <c r="J257" s="470"/>
      <c r="K257" s="470"/>
      <c r="L257" s="470"/>
      <c r="M257" s="470"/>
      <c r="N257" s="470"/>
      <c r="O257" s="470"/>
      <c r="P257" s="470"/>
      <c r="Q257" s="470"/>
      <c r="R257" s="471"/>
      <c r="S257" s="85"/>
      <c r="T257" s="472" t="s">
        <v>529</v>
      </c>
      <c r="U257" s="99" t="s">
        <v>579</v>
      </c>
      <c r="V257" s="180">
        <f>150*12*2200</f>
        <v>3960000</v>
      </c>
    </row>
    <row r="258" spans="1:22" ht="32.25" customHeight="1">
      <c r="A258" s="441"/>
      <c r="B258" s="417"/>
      <c r="C258" s="479"/>
      <c r="D258" s="469"/>
      <c r="E258" s="470"/>
      <c r="F258" s="470"/>
      <c r="G258" s="470"/>
      <c r="H258" s="470"/>
      <c r="I258" s="470"/>
      <c r="J258" s="470"/>
      <c r="K258" s="470"/>
      <c r="L258" s="470"/>
      <c r="M258" s="470"/>
      <c r="N258" s="470"/>
      <c r="O258" s="470"/>
      <c r="P258" s="470"/>
      <c r="Q258" s="470"/>
      <c r="R258" s="471"/>
      <c r="S258" s="85"/>
      <c r="T258" s="472"/>
      <c r="U258" s="99" t="s">
        <v>580</v>
      </c>
      <c r="V258" s="180">
        <f>1040000*1</f>
        <v>1040000</v>
      </c>
    </row>
    <row r="259" spans="1:22" ht="32.25" customHeight="1">
      <c r="A259" s="441"/>
      <c r="B259" s="417"/>
      <c r="C259" s="479"/>
      <c r="D259" s="469"/>
      <c r="E259" s="470"/>
      <c r="F259" s="470"/>
      <c r="G259" s="470"/>
      <c r="H259" s="470"/>
      <c r="I259" s="470"/>
      <c r="J259" s="470"/>
      <c r="K259" s="470"/>
      <c r="L259" s="470"/>
      <c r="M259" s="470"/>
      <c r="N259" s="470"/>
      <c r="O259" s="470"/>
      <c r="P259" s="470"/>
      <c r="Q259" s="470"/>
      <c r="R259" s="471"/>
      <c r="S259" s="85"/>
      <c r="T259" s="472" t="s">
        <v>8</v>
      </c>
      <c r="U259" s="99" t="s">
        <v>581</v>
      </c>
      <c r="V259" s="180">
        <f>3360000*1</f>
        <v>3360000</v>
      </c>
    </row>
    <row r="260" spans="1:22" ht="32.25" customHeight="1">
      <c r="A260" s="441"/>
      <c r="B260" s="417"/>
      <c r="C260" s="498"/>
      <c r="D260" s="475"/>
      <c r="E260" s="476"/>
      <c r="F260" s="476"/>
      <c r="G260" s="476"/>
      <c r="H260" s="476"/>
      <c r="I260" s="476"/>
      <c r="J260" s="476"/>
      <c r="K260" s="476"/>
      <c r="L260" s="476"/>
      <c r="M260" s="476"/>
      <c r="N260" s="476"/>
      <c r="O260" s="476"/>
      <c r="P260" s="476"/>
      <c r="Q260" s="476"/>
      <c r="R260" s="477"/>
      <c r="S260" s="89"/>
      <c r="T260" s="499" t="s">
        <v>530</v>
      </c>
      <c r="U260" s="440" t="s">
        <v>531</v>
      </c>
      <c r="V260" s="181">
        <f>200000*12</f>
        <v>2400000</v>
      </c>
    </row>
    <row r="261" spans="1:22" ht="32.25" customHeight="1">
      <c r="A261" s="441"/>
      <c r="B261" s="417"/>
      <c r="C261" s="502" t="s">
        <v>439</v>
      </c>
      <c r="D261" s="482"/>
      <c r="E261" s="483"/>
      <c r="F261" s="483"/>
      <c r="G261" s="483"/>
      <c r="H261" s="483"/>
      <c r="I261" s="483"/>
      <c r="J261" s="483">
        <v>0</v>
      </c>
      <c r="K261" s="483">
        <v>0</v>
      </c>
      <c r="L261" s="483">
        <v>775000</v>
      </c>
      <c r="M261" s="483">
        <v>775000</v>
      </c>
      <c r="N261" s="483">
        <v>775000</v>
      </c>
      <c r="O261" s="483">
        <v>775000</v>
      </c>
      <c r="P261" s="483">
        <v>775000</v>
      </c>
      <c r="Q261" s="483">
        <f>V261</f>
        <v>775000</v>
      </c>
      <c r="R261" s="484">
        <f>Q261-P261</f>
        <v>0</v>
      </c>
      <c r="S261" s="81" t="s">
        <v>532</v>
      </c>
      <c r="T261" s="532"/>
      <c r="U261" s="418" t="s">
        <v>533</v>
      </c>
      <c r="V261" s="178">
        <f>775000*1</f>
        <v>775000</v>
      </c>
    </row>
    <row r="262" spans="1:22" ht="32.25" customHeight="1">
      <c r="A262" s="441"/>
      <c r="B262" s="430"/>
      <c r="C262" s="495" t="s">
        <v>630</v>
      </c>
      <c r="D262" s="478"/>
      <c r="E262" s="465"/>
      <c r="F262" s="465"/>
      <c r="G262" s="465"/>
      <c r="H262" s="465"/>
      <c r="I262" s="465"/>
      <c r="J262" s="465"/>
      <c r="K262" s="465"/>
      <c r="L262" s="465"/>
      <c r="M262" s="465"/>
      <c r="N262" s="465"/>
      <c r="O262" s="465"/>
      <c r="P262" s="465">
        <v>0</v>
      </c>
      <c r="Q262" s="465">
        <f>SUM(V262:V267)</f>
        <v>35000000</v>
      </c>
      <c r="R262" s="466">
        <f>Q262-P262</f>
        <v>35000000</v>
      </c>
      <c r="S262" s="83" t="s">
        <v>615</v>
      </c>
      <c r="T262" s="467" t="s">
        <v>616</v>
      </c>
      <c r="U262" s="468" t="s">
        <v>617</v>
      </c>
      <c r="V262" s="179">
        <f>3500*1000</f>
        <v>3500000</v>
      </c>
    </row>
    <row r="263" spans="1:22" ht="32.25" customHeight="1">
      <c r="A263" s="441"/>
      <c r="B263" s="430"/>
      <c r="C263" s="479"/>
      <c r="D263" s="469"/>
      <c r="E263" s="470"/>
      <c r="F263" s="470"/>
      <c r="G263" s="470"/>
      <c r="H263" s="470"/>
      <c r="I263" s="470"/>
      <c r="J263" s="470"/>
      <c r="K263" s="470"/>
      <c r="L263" s="470"/>
      <c r="M263" s="470"/>
      <c r="N263" s="470"/>
      <c r="O263" s="470"/>
      <c r="P263" s="470"/>
      <c r="Q263" s="470"/>
      <c r="R263" s="471"/>
      <c r="S263" s="85"/>
      <c r="T263" s="563" t="s">
        <v>618</v>
      </c>
      <c r="U263" s="96" t="s">
        <v>619</v>
      </c>
      <c r="V263" s="180">
        <f>5500000*1</f>
        <v>5500000</v>
      </c>
    </row>
    <row r="264" spans="1:22" ht="32.25" customHeight="1">
      <c r="A264" s="441"/>
      <c r="B264" s="430"/>
      <c r="C264" s="479"/>
      <c r="D264" s="469"/>
      <c r="E264" s="470"/>
      <c r="F264" s="470"/>
      <c r="G264" s="470"/>
      <c r="H264" s="470"/>
      <c r="I264" s="470"/>
      <c r="J264" s="470"/>
      <c r="K264" s="470"/>
      <c r="L264" s="470"/>
      <c r="M264" s="470"/>
      <c r="N264" s="470"/>
      <c r="O264" s="470"/>
      <c r="P264" s="470"/>
      <c r="Q264" s="470"/>
      <c r="R264" s="471"/>
      <c r="S264" s="85" t="s">
        <v>620</v>
      </c>
      <c r="T264" s="563" t="s">
        <v>621</v>
      </c>
      <c r="U264" s="96" t="s">
        <v>622</v>
      </c>
      <c r="V264" s="180">
        <f>3500*5000</f>
        <v>17500000</v>
      </c>
    </row>
    <row r="265" spans="1:22" ht="32.25" customHeight="1">
      <c r="A265" s="441"/>
      <c r="B265" s="430"/>
      <c r="C265" s="479"/>
      <c r="D265" s="469"/>
      <c r="E265" s="470"/>
      <c r="F265" s="470"/>
      <c r="G265" s="470"/>
      <c r="H265" s="470"/>
      <c r="I265" s="470"/>
      <c r="J265" s="470"/>
      <c r="K265" s="470"/>
      <c r="L265" s="470"/>
      <c r="M265" s="470"/>
      <c r="N265" s="470"/>
      <c r="O265" s="470"/>
      <c r="P265" s="470"/>
      <c r="Q265" s="470"/>
      <c r="R265" s="471"/>
      <c r="S265" s="85"/>
      <c r="T265" s="563" t="s">
        <v>623</v>
      </c>
      <c r="U265" s="96" t="s">
        <v>624</v>
      </c>
      <c r="V265" s="180">
        <f>7000000*1</f>
        <v>7000000</v>
      </c>
    </row>
    <row r="266" spans="1:22" ht="32.25" customHeight="1">
      <c r="A266" s="441"/>
      <c r="B266" s="430"/>
      <c r="C266" s="479"/>
      <c r="D266" s="469"/>
      <c r="E266" s="470"/>
      <c r="F266" s="470"/>
      <c r="G266" s="470"/>
      <c r="H266" s="470"/>
      <c r="I266" s="470"/>
      <c r="J266" s="470"/>
      <c r="K266" s="470"/>
      <c r="L266" s="470"/>
      <c r="M266" s="470"/>
      <c r="N266" s="470"/>
      <c r="O266" s="470"/>
      <c r="P266" s="470"/>
      <c r="Q266" s="470"/>
      <c r="R266" s="471"/>
      <c r="S266" s="85" t="s">
        <v>625</v>
      </c>
      <c r="T266" s="563" t="s">
        <v>626</v>
      </c>
      <c r="U266" s="96" t="s">
        <v>627</v>
      </c>
      <c r="V266" s="180">
        <f>500000*1</f>
        <v>500000</v>
      </c>
    </row>
    <row r="267" spans="1:22" ht="32.25" customHeight="1">
      <c r="A267" s="441"/>
      <c r="B267" s="430"/>
      <c r="C267" s="479"/>
      <c r="D267" s="469"/>
      <c r="E267" s="470"/>
      <c r="F267" s="470"/>
      <c r="G267" s="470"/>
      <c r="H267" s="470"/>
      <c r="I267" s="470"/>
      <c r="J267" s="470"/>
      <c r="K267" s="470"/>
      <c r="L267" s="470"/>
      <c r="M267" s="470"/>
      <c r="N267" s="470"/>
      <c r="O267" s="470"/>
      <c r="P267" s="470"/>
      <c r="Q267" s="470"/>
      <c r="R267" s="471"/>
      <c r="S267" s="85"/>
      <c r="T267" s="563" t="s">
        <v>628</v>
      </c>
      <c r="U267" s="96" t="s">
        <v>629</v>
      </c>
      <c r="V267" s="180">
        <f>1000000*1</f>
        <v>1000000</v>
      </c>
    </row>
    <row r="268" spans="1:22" ht="33">
      <c r="A268" s="441"/>
      <c r="B268" s="415"/>
      <c r="C268" s="495" t="s">
        <v>534</v>
      </c>
      <c r="D268" s="478"/>
      <c r="E268" s="465"/>
      <c r="F268" s="465"/>
      <c r="G268" s="465"/>
      <c r="H268" s="465"/>
      <c r="I268" s="465"/>
      <c r="J268" s="465"/>
      <c r="K268" s="465"/>
      <c r="L268" s="465">
        <v>0</v>
      </c>
      <c r="M268" s="465">
        <v>0</v>
      </c>
      <c r="N268" s="465">
        <v>1600000</v>
      </c>
      <c r="O268" s="465">
        <v>1600000</v>
      </c>
      <c r="P268" s="465">
        <v>1600000</v>
      </c>
      <c r="Q268" s="465">
        <f>SUM(V268:V269)</f>
        <v>0</v>
      </c>
      <c r="R268" s="466">
        <f>Q268-P268</f>
        <v>-1600000</v>
      </c>
      <c r="S268" s="83"/>
      <c r="T268" s="467"/>
      <c r="U268" s="468"/>
      <c r="V268" s="179"/>
    </row>
    <row r="269" spans="1:22" ht="30.75" customHeight="1">
      <c r="A269" s="441"/>
      <c r="B269" s="415"/>
      <c r="C269" s="498" t="s">
        <v>536</v>
      </c>
      <c r="D269" s="475"/>
      <c r="E269" s="476"/>
      <c r="F269" s="476"/>
      <c r="G269" s="476"/>
      <c r="H269" s="476"/>
      <c r="I269" s="476"/>
      <c r="J269" s="476"/>
      <c r="K269" s="476"/>
      <c r="L269" s="476"/>
      <c r="M269" s="476"/>
      <c r="N269" s="476"/>
      <c r="O269" s="476"/>
      <c r="P269" s="476"/>
      <c r="Q269" s="476"/>
      <c r="R269" s="477"/>
      <c r="S269" s="89"/>
      <c r="T269" s="499"/>
      <c r="U269" s="440"/>
      <c r="V269" s="181"/>
    </row>
    <row r="270" spans="1:22" ht="30.75" customHeight="1">
      <c r="A270" s="441"/>
      <c r="B270" s="415"/>
      <c r="C270" s="479" t="s">
        <v>534</v>
      </c>
      <c r="D270" s="469"/>
      <c r="E270" s="470"/>
      <c r="F270" s="470"/>
      <c r="G270" s="470"/>
      <c r="H270" s="470"/>
      <c r="I270" s="470"/>
      <c r="J270" s="470"/>
      <c r="K270" s="470"/>
      <c r="L270" s="470">
        <v>0</v>
      </c>
      <c r="M270" s="470">
        <v>0</v>
      </c>
      <c r="N270" s="470">
        <v>0</v>
      </c>
      <c r="O270" s="470">
        <v>3200000</v>
      </c>
      <c r="P270" s="470">
        <v>3200000</v>
      </c>
      <c r="Q270" s="470">
        <f>SUM(V270:V271)</f>
        <v>0</v>
      </c>
      <c r="R270" s="471">
        <f>Q270-P270</f>
        <v>-3200000</v>
      </c>
      <c r="S270" s="85"/>
      <c r="T270" s="472"/>
      <c r="U270" s="99"/>
      <c r="V270" s="180"/>
    </row>
    <row r="271" spans="1:22" ht="30.75" customHeight="1">
      <c r="A271" s="441"/>
      <c r="B271" s="415"/>
      <c r="C271" s="498" t="s">
        <v>537</v>
      </c>
      <c r="D271" s="475"/>
      <c r="E271" s="476"/>
      <c r="F271" s="476"/>
      <c r="G271" s="476"/>
      <c r="H271" s="476"/>
      <c r="I271" s="476"/>
      <c r="J271" s="476"/>
      <c r="K271" s="476"/>
      <c r="L271" s="476"/>
      <c r="M271" s="476"/>
      <c r="N271" s="476"/>
      <c r="O271" s="476"/>
      <c r="P271" s="476"/>
      <c r="Q271" s="476"/>
      <c r="R271" s="477"/>
      <c r="S271" s="89"/>
      <c r="T271" s="499"/>
      <c r="U271" s="440"/>
      <c r="V271" s="181"/>
    </row>
    <row r="272" spans="1:22" ht="30.75" customHeight="1">
      <c r="A272" s="441"/>
      <c r="B272" s="415"/>
      <c r="C272" s="479" t="s">
        <v>534</v>
      </c>
      <c r="D272" s="469"/>
      <c r="E272" s="470"/>
      <c r="F272" s="470"/>
      <c r="G272" s="470"/>
      <c r="H272" s="470"/>
      <c r="I272" s="470"/>
      <c r="J272" s="470"/>
      <c r="K272" s="470"/>
      <c r="L272" s="470">
        <v>0</v>
      </c>
      <c r="M272" s="470">
        <v>0</v>
      </c>
      <c r="N272" s="470">
        <v>0</v>
      </c>
      <c r="O272" s="470">
        <v>3200000</v>
      </c>
      <c r="P272" s="470">
        <v>3200000</v>
      </c>
      <c r="Q272" s="470">
        <f>SUM(V272:V273)</f>
        <v>0</v>
      </c>
      <c r="R272" s="471">
        <f>Q272-P272</f>
        <v>-3200000</v>
      </c>
      <c r="S272" s="85"/>
      <c r="T272" s="472"/>
      <c r="U272" s="99"/>
      <c r="V272" s="180"/>
    </row>
    <row r="273" spans="1:22" ht="30.75" customHeight="1">
      <c r="A273" s="441"/>
      <c r="B273" s="415"/>
      <c r="C273" s="479" t="s">
        <v>538</v>
      </c>
      <c r="D273" s="469"/>
      <c r="E273" s="470"/>
      <c r="F273" s="470"/>
      <c r="G273" s="470"/>
      <c r="H273" s="470"/>
      <c r="I273" s="470"/>
      <c r="J273" s="470"/>
      <c r="K273" s="470"/>
      <c r="L273" s="470"/>
      <c r="M273" s="470"/>
      <c r="N273" s="470"/>
      <c r="O273" s="470"/>
      <c r="P273" s="470"/>
      <c r="Q273" s="470"/>
      <c r="R273" s="471"/>
      <c r="S273" s="85"/>
      <c r="T273" s="472"/>
      <c r="U273" s="99"/>
      <c r="V273" s="180"/>
    </row>
    <row r="274" spans="1:22" ht="30.75" customHeight="1">
      <c r="A274" s="441"/>
      <c r="B274" s="417"/>
      <c r="C274" s="502" t="s">
        <v>443</v>
      </c>
      <c r="D274" s="482"/>
      <c r="E274" s="483"/>
      <c r="F274" s="483"/>
      <c r="G274" s="483"/>
      <c r="H274" s="483"/>
      <c r="I274" s="483"/>
      <c r="J274" s="483"/>
      <c r="K274" s="483">
        <v>0</v>
      </c>
      <c r="L274" s="483">
        <v>130000000</v>
      </c>
      <c r="M274" s="483">
        <v>0</v>
      </c>
      <c r="N274" s="483">
        <v>0</v>
      </c>
      <c r="O274" s="483">
        <v>0</v>
      </c>
      <c r="P274" s="483">
        <v>0</v>
      </c>
      <c r="Q274" s="483">
        <f>V274</f>
        <v>0</v>
      </c>
      <c r="R274" s="484">
        <f>Q274-P274</f>
        <v>0</v>
      </c>
      <c r="S274" s="81"/>
      <c r="T274" s="532"/>
      <c r="U274" s="418"/>
      <c r="V274" s="178"/>
    </row>
    <row r="275" spans="1:22" ht="31.5" customHeight="1">
      <c r="A275" s="441"/>
      <c r="B275" s="415"/>
      <c r="C275" s="502" t="s">
        <v>444</v>
      </c>
      <c r="D275" s="482"/>
      <c r="E275" s="483"/>
      <c r="F275" s="483"/>
      <c r="G275" s="483"/>
      <c r="H275" s="483"/>
      <c r="I275" s="483"/>
      <c r="J275" s="483"/>
      <c r="K275" s="483"/>
      <c r="L275" s="483">
        <v>0</v>
      </c>
      <c r="M275" s="483">
        <v>0</v>
      </c>
      <c r="N275" s="483">
        <v>0</v>
      </c>
      <c r="O275" s="483">
        <v>1600000</v>
      </c>
      <c r="P275" s="483">
        <v>1600000</v>
      </c>
      <c r="Q275" s="483">
        <f>V275</f>
        <v>0</v>
      </c>
      <c r="R275" s="484">
        <f t="shared" ref="R275:R278" si="13">Q275-P275</f>
        <v>-1600000</v>
      </c>
      <c r="S275" s="81"/>
      <c r="T275" s="532"/>
      <c r="U275" s="418"/>
      <c r="V275" s="178"/>
    </row>
    <row r="276" spans="1:22" ht="31.5" customHeight="1">
      <c r="A276" s="441"/>
      <c r="B276" s="423"/>
      <c r="C276" s="500" t="s">
        <v>445</v>
      </c>
      <c r="D276" s="482"/>
      <c r="E276" s="483"/>
      <c r="F276" s="483"/>
      <c r="G276" s="483"/>
      <c r="H276" s="483"/>
      <c r="I276" s="483"/>
      <c r="J276" s="483"/>
      <c r="K276" s="483"/>
      <c r="L276" s="483"/>
      <c r="M276" s="483"/>
      <c r="N276" s="483"/>
      <c r="O276" s="483">
        <v>0</v>
      </c>
      <c r="P276" s="483">
        <v>11074000</v>
      </c>
      <c r="Q276" s="483">
        <f>V276</f>
        <v>42770000</v>
      </c>
      <c r="R276" s="484">
        <f t="shared" si="13"/>
        <v>31696000</v>
      </c>
      <c r="S276" s="81" t="s">
        <v>8</v>
      </c>
      <c r="T276" s="532"/>
      <c r="U276" s="418" t="s">
        <v>611</v>
      </c>
      <c r="V276" s="178">
        <f>42770000</f>
        <v>42770000</v>
      </c>
    </row>
    <row r="277" spans="1:22" ht="31.5" customHeight="1">
      <c r="A277" s="503" t="s">
        <v>39</v>
      </c>
      <c r="B277" s="418"/>
      <c r="C277" s="504"/>
      <c r="D277" s="505">
        <f t="shared" ref="D277:Q278" si="14">D278</f>
        <v>74000</v>
      </c>
      <c r="E277" s="506">
        <f t="shared" si="14"/>
        <v>0</v>
      </c>
      <c r="F277" s="506">
        <f t="shared" si="14"/>
        <v>45000</v>
      </c>
      <c r="G277" s="506">
        <f t="shared" si="14"/>
        <v>74000</v>
      </c>
      <c r="H277" s="506">
        <f t="shared" si="14"/>
        <v>120000</v>
      </c>
      <c r="I277" s="506">
        <f t="shared" si="14"/>
        <v>200000</v>
      </c>
      <c r="J277" s="506">
        <f t="shared" si="14"/>
        <v>200000</v>
      </c>
      <c r="K277" s="506">
        <f t="shared" si="14"/>
        <v>98000</v>
      </c>
      <c r="L277" s="506">
        <f t="shared" si="14"/>
        <v>460000</v>
      </c>
      <c r="M277" s="506">
        <f t="shared" si="14"/>
        <v>200000</v>
      </c>
      <c r="N277" s="506">
        <f t="shared" si="14"/>
        <v>661000</v>
      </c>
      <c r="O277" s="506">
        <f t="shared" si="14"/>
        <v>990000</v>
      </c>
      <c r="P277" s="506">
        <f t="shared" si="14"/>
        <v>990000</v>
      </c>
      <c r="Q277" s="506">
        <f t="shared" si="14"/>
        <v>200000</v>
      </c>
      <c r="R277" s="484">
        <f t="shared" si="13"/>
        <v>-790000</v>
      </c>
      <c r="S277" s="81"/>
      <c r="T277" s="532"/>
      <c r="U277" s="95"/>
      <c r="V277" s="178"/>
    </row>
    <row r="278" spans="1:22" ht="23.25" customHeight="1">
      <c r="A278" s="441"/>
      <c r="B278" s="674" t="s">
        <v>39</v>
      </c>
      <c r="C278" s="675"/>
      <c r="D278" s="482">
        <f t="shared" si="14"/>
        <v>74000</v>
      </c>
      <c r="E278" s="483">
        <f t="shared" si="14"/>
        <v>0</v>
      </c>
      <c r="F278" s="483">
        <f t="shared" si="14"/>
        <v>45000</v>
      </c>
      <c r="G278" s="483">
        <f t="shared" si="14"/>
        <v>74000</v>
      </c>
      <c r="H278" s="483">
        <f t="shared" si="14"/>
        <v>120000</v>
      </c>
      <c r="I278" s="483">
        <f t="shared" si="14"/>
        <v>200000</v>
      </c>
      <c r="J278" s="483">
        <f t="shared" si="14"/>
        <v>200000</v>
      </c>
      <c r="K278" s="483">
        <f t="shared" si="14"/>
        <v>98000</v>
      </c>
      <c r="L278" s="483">
        <f t="shared" si="14"/>
        <v>460000</v>
      </c>
      <c r="M278" s="483">
        <f t="shared" si="14"/>
        <v>200000</v>
      </c>
      <c r="N278" s="483">
        <v>661000</v>
      </c>
      <c r="O278" s="483">
        <f t="shared" si="14"/>
        <v>990000</v>
      </c>
      <c r="P278" s="483">
        <f t="shared" si="14"/>
        <v>990000</v>
      </c>
      <c r="Q278" s="483">
        <f t="shared" si="14"/>
        <v>200000</v>
      </c>
      <c r="R278" s="484">
        <f t="shared" si="13"/>
        <v>-790000</v>
      </c>
      <c r="S278" s="81"/>
      <c r="T278" s="532"/>
      <c r="U278" s="95"/>
      <c r="V278" s="178"/>
    </row>
    <row r="279" spans="1:22" ht="23.25" customHeight="1">
      <c r="A279" s="441"/>
      <c r="B279" s="415"/>
      <c r="C279" s="487" t="s">
        <v>39</v>
      </c>
      <c r="D279" s="469">
        <v>74000</v>
      </c>
      <c r="E279" s="470">
        <v>0</v>
      </c>
      <c r="F279" s="470">
        <v>45000</v>
      </c>
      <c r="G279" s="470">
        <v>74000</v>
      </c>
      <c r="H279" s="470">
        <v>120000</v>
      </c>
      <c r="I279" s="470">
        <v>200000</v>
      </c>
      <c r="J279" s="470">
        <v>200000</v>
      </c>
      <c r="K279" s="470">
        <v>98000</v>
      </c>
      <c r="L279" s="470">
        <v>460000</v>
      </c>
      <c r="M279" s="470">
        <v>200000</v>
      </c>
      <c r="N279" s="470">
        <v>661000</v>
      </c>
      <c r="O279" s="470">
        <v>990000</v>
      </c>
      <c r="P279" s="470">
        <v>990000</v>
      </c>
      <c r="Q279" s="470">
        <f>SUM(V279:V279)</f>
        <v>200000</v>
      </c>
      <c r="R279" s="466">
        <f>Q279-P279</f>
        <v>-790000</v>
      </c>
      <c r="S279" s="85"/>
      <c r="T279" s="472"/>
      <c r="U279" s="164"/>
      <c r="V279" s="180">
        <v>200000</v>
      </c>
    </row>
    <row r="280" spans="1:22" ht="23.25" customHeight="1">
      <c r="A280" s="664" t="s">
        <v>151</v>
      </c>
      <c r="B280" s="665"/>
      <c r="C280" s="666"/>
      <c r="D280" s="507">
        <f t="shared" ref="D280:Q281" si="15">D281</f>
        <v>895000</v>
      </c>
      <c r="E280" s="508">
        <f t="shared" si="15"/>
        <v>988000</v>
      </c>
      <c r="F280" s="508">
        <f t="shared" si="15"/>
        <v>2290000</v>
      </c>
      <c r="G280" s="508">
        <f t="shared" si="15"/>
        <v>895000</v>
      </c>
      <c r="H280" s="508">
        <f t="shared" si="15"/>
        <v>1341000</v>
      </c>
      <c r="I280" s="508">
        <f t="shared" si="15"/>
        <v>653000</v>
      </c>
      <c r="J280" s="508">
        <f t="shared" si="15"/>
        <v>1005000</v>
      </c>
      <c r="K280" s="508">
        <f t="shared" si="15"/>
        <v>1487000</v>
      </c>
      <c r="L280" s="508">
        <f t="shared" si="15"/>
        <v>1342000</v>
      </c>
      <c r="M280" s="508">
        <f t="shared" si="15"/>
        <v>5971000</v>
      </c>
      <c r="N280" s="508">
        <f t="shared" si="15"/>
        <v>23459000</v>
      </c>
      <c r="O280" s="508">
        <f t="shared" si="15"/>
        <v>35296000</v>
      </c>
      <c r="P280" s="508">
        <f t="shared" si="15"/>
        <v>18569000</v>
      </c>
      <c r="Q280" s="508">
        <f t="shared" si="15"/>
        <v>8427000</v>
      </c>
      <c r="R280" s="484">
        <f>Q280-P280</f>
        <v>-10142000</v>
      </c>
      <c r="S280" s="79"/>
      <c r="T280" s="533"/>
      <c r="U280" s="534"/>
      <c r="V280" s="462"/>
    </row>
    <row r="281" spans="1:22" s="461" customFormat="1" ht="23.25" customHeight="1">
      <c r="A281" s="441"/>
      <c r="B281" s="676" t="s">
        <v>151</v>
      </c>
      <c r="C281" s="677"/>
      <c r="D281" s="478">
        <f t="shared" si="15"/>
        <v>895000</v>
      </c>
      <c r="E281" s="465">
        <f t="shared" si="15"/>
        <v>988000</v>
      </c>
      <c r="F281" s="465">
        <f t="shared" si="15"/>
        <v>2290000</v>
      </c>
      <c r="G281" s="465">
        <f t="shared" si="15"/>
        <v>895000</v>
      </c>
      <c r="H281" s="465">
        <f t="shared" si="15"/>
        <v>1341000</v>
      </c>
      <c r="I281" s="465">
        <f>SUM(I282:I283)</f>
        <v>653000</v>
      </c>
      <c r="J281" s="465">
        <f>SUM(J282:J283)</f>
        <v>1005000</v>
      </c>
      <c r="K281" s="465">
        <f>SUM(K282:K283)</f>
        <v>1487000</v>
      </c>
      <c r="L281" s="465">
        <f>SUM(L282:L283)</f>
        <v>1342000</v>
      </c>
      <c r="M281" s="465">
        <f>SUM(M282:M283)</f>
        <v>5971000</v>
      </c>
      <c r="N281" s="465">
        <v>23459000</v>
      </c>
      <c r="O281" s="465">
        <f>SUM(O282:O283)</f>
        <v>35296000</v>
      </c>
      <c r="P281" s="465">
        <f>SUM(P282:P283)</f>
        <v>18569000</v>
      </c>
      <c r="Q281" s="465">
        <f>SUM(Q282:Q283)</f>
        <v>8427000</v>
      </c>
      <c r="R281" s="484">
        <f>Q281-P281</f>
        <v>-10142000</v>
      </c>
      <c r="S281" s="83"/>
      <c r="T281" s="532"/>
      <c r="U281" s="95"/>
      <c r="V281" s="178"/>
    </row>
    <row r="282" spans="1:22" ht="23.25" customHeight="1">
      <c r="A282" s="509"/>
      <c r="B282" s="442"/>
      <c r="C282" s="442" t="s">
        <v>9</v>
      </c>
      <c r="D282" s="478">
        <v>895000</v>
      </c>
      <c r="E282" s="465">
        <v>988000</v>
      </c>
      <c r="F282" s="465">
        <v>2290000</v>
      </c>
      <c r="G282" s="465">
        <v>895000</v>
      </c>
      <c r="H282" s="465">
        <v>1341000</v>
      </c>
      <c r="I282" s="465">
        <v>487000</v>
      </c>
      <c r="J282" s="465">
        <v>1005000</v>
      </c>
      <c r="K282" s="465">
        <v>1487000</v>
      </c>
      <c r="L282" s="465">
        <v>1342000</v>
      </c>
      <c r="M282" s="465">
        <v>5971000</v>
      </c>
      <c r="N282" s="465">
        <v>8509000</v>
      </c>
      <c r="O282" s="465">
        <v>20346000</v>
      </c>
      <c r="P282" s="465">
        <v>3619000</v>
      </c>
      <c r="Q282" s="465">
        <f>V282</f>
        <v>8427000</v>
      </c>
      <c r="R282" s="466">
        <f>Q282-P282</f>
        <v>4808000</v>
      </c>
      <c r="S282" s="81"/>
      <c r="T282" s="100"/>
      <c r="U282" s="95" t="s">
        <v>637</v>
      </c>
      <c r="V282" s="178">
        <v>8427000</v>
      </c>
    </row>
    <row r="283" spans="1:22" ht="23.25" customHeight="1">
      <c r="A283" s="510"/>
      <c r="B283" s="511"/>
      <c r="C283" s="511" t="s">
        <v>152</v>
      </c>
      <c r="D283" s="512"/>
      <c r="E283" s="513"/>
      <c r="F283" s="513"/>
      <c r="G283" s="514"/>
      <c r="H283" s="514"/>
      <c r="I283" s="514">
        <v>166000</v>
      </c>
      <c r="J283" s="514"/>
      <c r="K283" s="514"/>
      <c r="L283" s="514">
        <v>0</v>
      </c>
      <c r="M283" s="514">
        <v>0</v>
      </c>
      <c r="N283" s="514">
        <v>14950000</v>
      </c>
      <c r="O283" s="514">
        <v>14950000</v>
      </c>
      <c r="P283" s="514">
        <v>14950000</v>
      </c>
      <c r="Q283" s="514">
        <f>SUM(V283:V287)</f>
        <v>0</v>
      </c>
      <c r="R283" s="515">
        <f>Q283-P283</f>
        <v>-14950000</v>
      </c>
      <c r="S283" s="83"/>
      <c r="T283" s="467"/>
      <c r="U283" s="535"/>
      <c r="V283" s="174"/>
    </row>
    <row r="284" spans="1:22" ht="24" customHeight="1">
      <c r="A284" s="516"/>
      <c r="B284" s="517"/>
      <c r="C284" s="518"/>
      <c r="D284" s="519"/>
      <c r="E284" s="520"/>
      <c r="F284" s="520"/>
      <c r="G284" s="520"/>
      <c r="H284" s="520"/>
      <c r="I284" s="520"/>
      <c r="J284" s="520"/>
      <c r="K284" s="520"/>
      <c r="L284" s="307"/>
      <c r="M284" s="520"/>
      <c r="N284" s="307"/>
      <c r="O284" s="307"/>
      <c r="P284" s="307"/>
      <c r="Q284" s="307"/>
      <c r="R284" s="521"/>
      <c r="S284" s="536"/>
      <c r="T284" s="472"/>
      <c r="U284" s="536"/>
      <c r="V284" s="537"/>
    </row>
    <row r="285" spans="1:22" ht="24" customHeight="1">
      <c r="A285" s="516"/>
      <c r="B285" s="517"/>
      <c r="C285" s="518"/>
      <c r="D285" s="519"/>
      <c r="E285" s="520"/>
      <c r="F285" s="520"/>
      <c r="G285" s="520"/>
      <c r="H285" s="520"/>
      <c r="I285" s="520"/>
      <c r="J285" s="520"/>
      <c r="K285" s="520"/>
      <c r="L285" s="307"/>
      <c r="M285" s="520"/>
      <c r="N285" s="307"/>
      <c r="O285" s="307"/>
      <c r="P285" s="307"/>
      <c r="Q285" s="307"/>
      <c r="R285" s="521"/>
      <c r="S285" s="536"/>
      <c r="T285" s="472"/>
      <c r="U285" s="536"/>
      <c r="V285" s="537"/>
    </row>
    <row r="286" spans="1:22" ht="24" customHeight="1">
      <c r="A286" s="516"/>
      <c r="B286" s="517"/>
      <c r="C286" s="518"/>
      <c r="D286" s="519"/>
      <c r="E286" s="520"/>
      <c r="F286" s="520"/>
      <c r="G286" s="520"/>
      <c r="H286" s="520"/>
      <c r="I286" s="520"/>
      <c r="J286" s="520"/>
      <c r="K286" s="520"/>
      <c r="L286" s="307"/>
      <c r="M286" s="520"/>
      <c r="N286" s="307"/>
      <c r="O286" s="307"/>
      <c r="P286" s="307"/>
      <c r="Q286" s="307"/>
      <c r="R286" s="521"/>
      <c r="S286" s="536"/>
      <c r="T286" s="472"/>
      <c r="U286" s="536"/>
      <c r="V286" s="537"/>
    </row>
    <row r="287" spans="1:22" ht="24" customHeight="1" thickBot="1">
      <c r="A287" s="522"/>
      <c r="B287" s="523"/>
      <c r="C287" s="524"/>
      <c r="D287" s="525"/>
      <c r="E287" s="526"/>
      <c r="F287" s="526"/>
      <c r="G287" s="526"/>
      <c r="H287" s="526"/>
      <c r="I287" s="526"/>
      <c r="J287" s="526"/>
      <c r="K287" s="526"/>
      <c r="L287" s="527"/>
      <c r="M287" s="526"/>
      <c r="N287" s="527"/>
      <c r="O287" s="527"/>
      <c r="P287" s="527"/>
      <c r="Q287" s="527"/>
      <c r="R287" s="528"/>
      <c r="S287" s="538"/>
      <c r="T287" s="539"/>
      <c r="U287" s="538"/>
      <c r="V287" s="540"/>
    </row>
    <row r="288" spans="1:22" ht="24" customHeight="1"/>
  </sheetData>
  <mergeCells count="49">
    <mergeCell ref="B278:C278"/>
    <mergeCell ref="A280:C280"/>
    <mergeCell ref="B281:C281"/>
    <mergeCell ref="P159:P160"/>
    <mergeCell ref="C202:C203"/>
    <mergeCell ref="C209:C212"/>
    <mergeCell ref="C199:C201"/>
    <mergeCell ref="C215:C216"/>
    <mergeCell ref="C217:C220"/>
    <mergeCell ref="C221:C222"/>
    <mergeCell ref="C233:C234"/>
    <mergeCell ref="C194:C196"/>
    <mergeCell ref="C175:C176"/>
    <mergeCell ref="Q159:Q160"/>
    <mergeCell ref="R159:R160"/>
    <mergeCell ref="C161:C162"/>
    <mergeCell ref="C173:C174"/>
    <mergeCell ref="C183:C184"/>
    <mergeCell ref="L159:L160"/>
    <mergeCell ref="M159:M160"/>
    <mergeCell ref="N159:N160"/>
    <mergeCell ref="O159:O160"/>
    <mergeCell ref="C154:C157"/>
    <mergeCell ref="C159:C160"/>
    <mergeCell ref="I159:I160"/>
    <mergeCell ref="J159:J160"/>
    <mergeCell ref="K159:K160"/>
    <mergeCell ref="S78:T78"/>
    <mergeCell ref="S105:T105"/>
    <mergeCell ref="A107:C107"/>
    <mergeCell ref="B108:C108"/>
    <mergeCell ref="S106:T106"/>
    <mergeCell ref="C111:C113"/>
    <mergeCell ref="A118:C118"/>
    <mergeCell ref="B119:C119"/>
    <mergeCell ref="C120:C124"/>
    <mergeCell ref="C127:C129"/>
    <mergeCell ref="S68:T68"/>
    <mergeCell ref="A1:V1"/>
    <mergeCell ref="S3:V3"/>
    <mergeCell ref="A4:C4"/>
    <mergeCell ref="A5:C5"/>
    <mergeCell ref="B6:C6"/>
    <mergeCell ref="C33:C36"/>
    <mergeCell ref="C38:C39"/>
    <mergeCell ref="B54:C54"/>
    <mergeCell ref="S55:T55"/>
    <mergeCell ref="C56:C58"/>
    <mergeCell ref="S67:T67"/>
  </mergeCells>
  <phoneticPr fontId="2" type="noConversion"/>
  <pageMargins left="0.51181102362204722" right="0.39370078740157483" top="0.74803149606299213" bottom="0.74803149606299213" header="0.31496062992125984" footer="0.31496062992125984"/>
  <pageSetup paperSize="9" scale="8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표지</vt:lpstr>
      <vt:lpstr>세입세출명세서</vt:lpstr>
      <vt:lpstr>세입명세서</vt:lpstr>
      <vt:lpstr>세출명세서</vt:lpstr>
      <vt:lpstr>세입명세서!Print_Area</vt:lpstr>
      <vt:lpstr>세입명세서!Print_Titles</vt:lpstr>
      <vt:lpstr>세입세출명세서!Print_Titles</vt:lpstr>
      <vt:lpstr>세출명세서!Print_Titles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2021-01-04T06:03:29Z</cp:lastPrinted>
  <dcterms:created xsi:type="dcterms:W3CDTF">2004-12-10T02:55:32Z</dcterms:created>
  <dcterms:modified xsi:type="dcterms:W3CDTF">2021-01-04T06:03:31Z</dcterms:modified>
</cp:coreProperties>
</file>