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북부노인복지관\북부노인2022\예산서\2022년 예산서\"/>
    </mc:Choice>
  </mc:AlternateContent>
  <xr:revisionPtr revIDLastSave="0" documentId="13_ncr:1_{D9B6AEC6-121E-4304-981D-37B363EFD33D}" xr6:coauthVersionLast="47" xr6:coauthVersionMax="47" xr10:uidLastSave="{00000000-0000-0000-0000-000000000000}"/>
  <bookViews>
    <workbookView xWindow="-120" yWindow="-120" windowWidth="29040" windowHeight="15840" xr2:uid="{5B9ED589-EDAD-4646-BE34-BCC9EEB324AC}"/>
  </bookViews>
  <sheets>
    <sheet name="세입세출총괄표" sheetId="7" r:id="rId1"/>
    <sheet name="세입명세서" sheetId="8" r:id="rId2"/>
    <sheet name="세출명세서" sheetId="9" r:id="rId3"/>
  </sheets>
  <externalReferences>
    <externalReference r:id="rId4"/>
  </externalReferences>
  <definedNames>
    <definedName name="_xlnm.Print_Area" localSheetId="1">세입명세서!$A$1:$Y$59</definedName>
    <definedName name="_xlnm.Print_Titles" localSheetId="1">세입명세서!$1:$4</definedName>
    <definedName name="_xlnm.Print_Titles" localSheetId="0">세입세출총괄표!$3:$4</definedName>
    <definedName name="_xlnm.Print_Titles" localSheetId="2">세출명세서!$1:$4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281" i="9" l="1"/>
  <c r="Z199" i="9"/>
  <c r="Z206" i="9"/>
  <c r="Z207" i="9"/>
  <c r="Z189" i="9"/>
  <c r="Z164" i="9"/>
  <c r="Z275" i="9"/>
  <c r="Y51" i="8"/>
  <c r="Z205" i="9"/>
  <c r="Z204" i="9"/>
  <c r="Z203" i="9"/>
  <c r="Z202" i="9"/>
  <c r="Z201" i="9"/>
  <c r="Z198" i="9"/>
  <c r="Z197" i="9"/>
  <c r="Z268" i="9"/>
  <c r="Z267" i="9"/>
  <c r="Z266" i="9"/>
  <c r="Z265" i="9"/>
  <c r="Z264" i="9"/>
  <c r="Y20" i="8"/>
  <c r="T20" i="8" s="1"/>
  <c r="Z165" i="9"/>
  <c r="Z133" i="9"/>
  <c r="Z134" i="9"/>
  <c r="Z129" i="9"/>
  <c r="Z188" i="9"/>
  <c r="AA40" i="7"/>
  <c r="AA39" i="7"/>
  <c r="Z225" i="9"/>
  <c r="Z224" i="9"/>
  <c r="Z223" i="9"/>
  <c r="Z222" i="9"/>
  <c r="Z221" i="9"/>
  <c r="Z220" i="9"/>
  <c r="Z219" i="9"/>
  <c r="Z218" i="9"/>
  <c r="Z217" i="9"/>
  <c r="Z216" i="9"/>
  <c r="Z215" i="9"/>
  <c r="Z214" i="9"/>
  <c r="Z213" i="9"/>
  <c r="Z212" i="9"/>
  <c r="Z211" i="9"/>
  <c r="Z210" i="9"/>
  <c r="Z209" i="9"/>
  <c r="Z208" i="9"/>
  <c r="Z236" i="9"/>
  <c r="Z235" i="9"/>
  <c r="Z234" i="9"/>
  <c r="Z233" i="9"/>
  <c r="Z232" i="9"/>
  <c r="Z231" i="9"/>
  <c r="Z230" i="9"/>
  <c r="Z229" i="9"/>
  <c r="Z228" i="9"/>
  <c r="Z227" i="9"/>
  <c r="Z226" i="9"/>
  <c r="AA43" i="7"/>
  <c r="Z250" i="9"/>
  <c r="Z249" i="9"/>
  <c r="Z248" i="9"/>
  <c r="Z247" i="9"/>
  <c r="Z246" i="9"/>
  <c r="AA46" i="7"/>
  <c r="AA45" i="7"/>
  <c r="Z259" i="9"/>
  <c r="T259" i="9" s="1"/>
  <c r="U259" i="9" s="1"/>
  <c r="V259" i="9" s="1"/>
  <c r="Z244" i="9"/>
  <c r="Z183" i="9"/>
  <c r="X15" i="8"/>
  <c r="Z184" i="9"/>
  <c r="T275" i="9"/>
  <c r="T271" i="9"/>
  <c r="T272" i="9"/>
  <c r="T273" i="9"/>
  <c r="T274" i="9"/>
  <c r="T270" i="9"/>
  <c r="T269" i="9"/>
  <c r="Z263" i="9"/>
  <c r="Z262" i="9"/>
  <c r="Z261" i="9"/>
  <c r="Z171" i="9"/>
  <c r="Z170" i="9"/>
  <c r="Z168" i="9"/>
  <c r="Z169" i="9"/>
  <c r="Z167" i="9"/>
  <c r="Z200" i="9"/>
  <c r="Z196" i="9"/>
  <c r="Z257" i="9"/>
  <c r="X46" i="8"/>
  <c r="Y46" i="8" s="1"/>
  <c r="T46" i="8" s="1"/>
  <c r="U46" i="8" s="1"/>
  <c r="V46" i="8" s="1"/>
  <c r="X58" i="8"/>
  <c r="X47" i="8"/>
  <c r="Y47" i="8" s="1"/>
  <c r="T47" i="8" s="1"/>
  <c r="U47" i="8" s="1"/>
  <c r="T35" i="8"/>
  <c r="U35" i="8" s="1"/>
  <c r="V35" i="8" s="1"/>
  <c r="X25" i="8"/>
  <c r="Y25" i="8" s="1"/>
  <c r="T25" i="8" s="1"/>
  <c r="T23" i="8"/>
  <c r="T27" i="8"/>
  <c r="T28" i="8"/>
  <c r="T26" i="8"/>
  <c r="Y22" i="8"/>
  <c r="T22" i="8" s="1"/>
  <c r="T21" i="8"/>
  <c r="Y21" i="8"/>
  <c r="T264" i="9" l="1"/>
  <c r="T208" i="9"/>
  <c r="T226" i="9"/>
  <c r="T246" i="9"/>
  <c r="AB46" i="7"/>
  <c r="AC46" i="7" s="1"/>
  <c r="T167" i="9"/>
  <c r="T261" i="9"/>
  <c r="T196" i="9"/>
  <c r="U226" i="9" l="1"/>
  <c r="AB40" i="7"/>
  <c r="AC40" i="7" s="1"/>
  <c r="AD40" i="7" s="1"/>
  <c r="U208" i="9"/>
  <c r="AB39" i="7"/>
  <c r="AC39" i="7" s="1"/>
  <c r="U246" i="9"/>
  <c r="V246" i="9" s="1"/>
  <c r="AB43" i="7"/>
  <c r="AC43" i="7" s="1"/>
  <c r="AD43" i="7" s="1"/>
  <c r="X19" i="8"/>
  <c r="Y19" i="8" s="1"/>
  <c r="T19" i="8" s="1"/>
  <c r="Y17" i="8"/>
  <c r="T17" i="8" s="1"/>
  <c r="X16" i="8"/>
  <c r="Y16" i="8" s="1"/>
  <c r="T16" i="8" s="1"/>
  <c r="O12" i="7" s="1"/>
  <c r="Y15" i="8"/>
  <c r="T15" i="8" s="1"/>
  <c r="AB48" i="7"/>
  <c r="AB49" i="7"/>
  <c r="AB50" i="7"/>
  <c r="AB51" i="7"/>
  <c r="AB52" i="7"/>
  <c r="AB53" i="7"/>
  <c r="AB54" i="7"/>
  <c r="AB55" i="7"/>
  <c r="AB56" i="7"/>
  <c r="AB38" i="7"/>
  <c r="O26" i="7"/>
  <c r="O32" i="7"/>
  <c r="O33" i="7"/>
  <c r="AB32" i="7"/>
  <c r="O15" i="7"/>
  <c r="O16" i="7"/>
  <c r="O17" i="7"/>
  <c r="O18" i="7"/>
  <c r="O20" i="7"/>
  <c r="O21" i="7"/>
  <c r="O22" i="7"/>
  <c r="O23" i="7"/>
  <c r="Y14" i="8"/>
  <c r="T14" i="8" s="1"/>
  <c r="U167" i="9"/>
  <c r="U196" i="9"/>
  <c r="U261" i="9"/>
  <c r="U264" i="9"/>
  <c r="U269" i="9"/>
  <c r="U270" i="9"/>
  <c r="U271" i="9"/>
  <c r="U272" i="9"/>
  <c r="U273" i="9"/>
  <c r="U274" i="9"/>
  <c r="U275" i="9"/>
  <c r="U20" i="8"/>
  <c r="V20" i="8"/>
  <c r="U21" i="8"/>
  <c r="U22" i="8"/>
  <c r="V22" i="8" s="1"/>
  <c r="U23" i="8"/>
  <c r="V23" i="8" s="1"/>
  <c r="U25" i="8"/>
  <c r="V25" i="8" s="1"/>
  <c r="U26" i="8"/>
  <c r="V26" i="8" s="1"/>
  <c r="U27" i="8"/>
  <c r="V27" i="8" s="1"/>
  <c r="U28" i="8"/>
  <c r="V28" i="8" s="1"/>
  <c r="AA56" i="7"/>
  <c r="AA55" i="7"/>
  <c r="AA54" i="7"/>
  <c r="AA53" i="7"/>
  <c r="AA52" i="7"/>
  <c r="AA51" i="7"/>
  <c r="AA50" i="7"/>
  <c r="AA49" i="7"/>
  <c r="AA48" i="7"/>
  <c r="AA38" i="7"/>
  <c r="AA32" i="7"/>
  <c r="AD32" i="7" s="1"/>
  <c r="S128" i="9"/>
  <c r="N33" i="7"/>
  <c r="N32" i="7"/>
  <c r="N26" i="7"/>
  <c r="N23" i="7"/>
  <c r="N22" i="7"/>
  <c r="N21" i="7"/>
  <c r="N20" i="7"/>
  <c r="N18" i="7"/>
  <c r="N17" i="7"/>
  <c r="N16" i="7"/>
  <c r="N15" i="7"/>
  <c r="N14" i="7"/>
  <c r="N13" i="7"/>
  <c r="N12" i="7"/>
  <c r="N11" i="7"/>
  <c r="N10" i="7"/>
  <c r="S30" i="8"/>
  <c r="T24" i="8"/>
  <c r="O19" i="7" s="1"/>
  <c r="S40" i="8"/>
  <c r="S8" i="8"/>
  <c r="S24" i="8"/>
  <c r="N19" i="7" s="1"/>
  <c r="S7" i="8" l="1"/>
  <c r="P32" i="7"/>
  <c r="Q32" i="7" s="1"/>
  <c r="P33" i="7"/>
  <c r="AC51" i="7"/>
  <c r="AD51" i="7" s="1"/>
  <c r="P12" i="7"/>
  <c r="Q12" i="7" s="1"/>
  <c r="AC52" i="7"/>
  <c r="AD52" i="7" s="1"/>
  <c r="AC49" i="7"/>
  <c r="AD49" i="7" s="1"/>
  <c r="AC55" i="7"/>
  <c r="AD55" i="7" s="1"/>
  <c r="AC56" i="7"/>
  <c r="AD56" i="7" s="1"/>
  <c r="AC48" i="7"/>
  <c r="AD48" i="7" s="1"/>
  <c r="U19" i="8"/>
  <c r="V19" i="8" s="1"/>
  <c r="O14" i="7"/>
  <c r="P14" i="7" s="1"/>
  <c r="Q14" i="7" s="1"/>
  <c r="P17" i="7"/>
  <c r="Q17" i="7" s="1"/>
  <c r="U17" i="8"/>
  <c r="V17" i="8" s="1"/>
  <c r="O13" i="7"/>
  <c r="P13" i="7" s="1"/>
  <c r="Q13" i="7" s="1"/>
  <c r="U14" i="8"/>
  <c r="V14" i="8" s="1"/>
  <c r="O10" i="7"/>
  <c r="P10" i="7" s="1"/>
  <c r="Q10" i="7" s="1"/>
  <c r="O11" i="7"/>
  <c r="U15" i="8"/>
  <c r="V15" i="8" s="1"/>
  <c r="P19" i="7"/>
  <c r="Q19" i="7" s="1"/>
  <c r="P16" i="7"/>
  <c r="P23" i="7"/>
  <c r="Q23" i="7" s="1"/>
  <c r="P22" i="7"/>
  <c r="Q22" i="7" s="1"/>
  <c r="P18" i="7"/>
  <c r="Q18" i="7" s="1"/>
  <c r="U24" i="8"/>
  <c r="V24" i="8" s="1"/>
  <c r="U16" i="8"/>
  <c r="V16" i="8" s="1"/>
  <c r="AC50" i="7"/>
  <c r="AD50" i="7" s="1"/>
  <c r="AC53" i="7"/>
  <c r="AD53" i="7" s="1"/>
  <c r="AC54" i="7"/>
  <c r="AD54" i="7" s="1"/>
  <c r="AC38" i="7"/>
  <c r="AD38" i="7" s="1"/>
  <c r="P20" i="7"/>
  <c r="Q20" i="7" s="1"/>
  <c r="P21" i="7"/>
  <c r="Q21" i="7" s="1"/>
  <c r="P15" i="7"/>
  <c r="Q15" i="7" s="1"/>
  <c r="Z245" i="9"/>
  <c r="Z238" i="9"/>
  <c r="Z190" i="9"/>
  <c r="Z114" i="9"/>
  <c r="X42" i="8"/>
  <c r="Z174" i="9"/>
  <c r="Z39" i="9"/>
  <c r="Z29" i="9"/>
  <c r="Z38" i="9"/>
  <c r="Z28" i="9"/>
  <c r="Z37" i="9"/>
  <c r="Z27" i="9"/>
  <c r="P11" i="7" l="1"/>
  <c r="Q11" i="7" s="1"/>
  <c r="Z195" i="9"/>
  <c r="Z120" i="9"/>
  <c r="Z124" i="9"/>
  <c r="Z87" i="9"/>
  <c r="Z89" i="9"/>
  <c r="Z88" i="9"/>
  <c r="Z91" i="9"/>
  <c r="Z119" i="9"/>
  <c r="Z118" i="9"/>
  <c r="T118" i="9" l="1"/>
  <c r="Q8" i="7"/>
  <c r="Z258" i="9"/>
  <c r="T258" i="9" s="1"/>
  <c r="Z237" i="9"/>
  <c r="Z52" i="9"/>
  <c r="Z260" i="9"/>
  <c r="Z166" i="9"/>
  <c r="Z172" i="9"/>
  <c r="Z163" i="9"/>
  <c r="Z162" i="9"/>
  <c r="Z161" i="9"/>
  <c r="Z160" i="9"/>
  <c r="Z159" i="9"/>
  <c r="Z158" i="9"/>
  <c r="Z157" i="9"/>
  <c r="Z156" i="9"/>
  <c r="Z155" i="9"/>
  <c r="Z154" i="9"/>
  <c r="Z153" i="9"/>
  <c r="Z152" i="9"/>
  <c r="Z151" i="9"/>
  <c r="Z150" i="9"/>
  <c r="Z149" i="9"/>
  <c r="Z148" i="9"/>
  <c r="Z147" i="9"/>
  <c r="Z146" i="9"/>
  <c r="Z145" i="9"/>
  <c r="Z144" i="9"/>
  <c r="Z143" i="9"/>
  <c r="Z142" i="9"/>
  <c r="Z141" i="9"/>
  <c r="Z140" i="9"/>
  <c r="Z139" i="9"/>
  <c r="Z138" i="9"/>
  <c r="Z137" i="9"/>
  <c r="Z136" i="9"/>
  <c r="Z58" i="9"/>
  <c r="Z194" i="9"/>
  <c r="Z53" i="9"/>
  <c r="Z122" i="9"/>
  <c r="Z107" i="9"/>
  <c r="Z67" i="9"/>
  <c r="Z69" i="9"/>
  <c r="Z76" i="9"/>
  <c r="Z252" i="9"/>
  <c r="Y52" i="8"/>
  <c r="T52" i="8" s="1"/>
  <c r="Y50" i="8"/>
  <c r="T50" i="8" s="1"/>
  <c r="X56" i="8"/>
  <c r="X44" i="8"/>
  <c r="X45" i="8"/>
  <c r="X11" i="8"/>
  <c r="X10" i="8"/>
  <c r="P26" i="7"/>
  <c r="X43" i="8"/>
  <c r="Z71" i="9"/>
  <c r="X33" i="8"/>
  <c r="X31" i="8"/>
  <c r="Z113" i="9"/>
  <c r="Z70" i="9"/>
  <c r="Y56" i="8" l="1"/>
  <c r="T56" i="8"/>
  <c r="W137" i="9"/>
  <c r="U258" i="9"/>
  <c r="AB45" i="7"/>
  <c r="AC45" i="7" s="1"/>
  <c r="Y10" i="8"/>
  <c r="T10" i="8" s="1"/>
  <c r="U10" i="8" s="1"/>
  <c r="P8" i="7" s="1"/>
  <c r="T260" i="9"/>
  <c r="O8" i="7" l="1"/>
  <c r="U260" i="9"/>
  <c r="AB47" i="7"/>
  <c r="AC47" i="7" s="1"/>
  <c r="Z176" i="9" l="1"/>
  <c r="Z23" i="9"/>
  <c r="Z22" i="9"/>
  <c r="Z21" i="9"/>
  <c r="Z20" i="9"/>
  <c r="Z19" i="9"/>
  <c r="Z18" i="9"/>
  <c r="Z17" i="9"/>
  <c r="Z16" i="9"/>
  <c r="Z15" i="9"/>
  <c r="Z14" i="9"/>
  <c r="Z13" i="9"/>
  <c r="Z12" i="9"/>
  <c r="Z11" i="9"/>
  <c r="Z10" i="9"/>
  <c r="Z9" i="9"/>
  <c r="O35" i="7"/>
  <c r="Z83" i="9"/>
  <c r="O36" i="7"/>
  <c r="O34" i="7" l="1"/>
  <c r="Z36" i="9"/>
  <c r="Z26" i="9"/>
  <c r="Z80" i="9"/>
  <c r="T283" i="9"/>
  <c r="T281" i="9"/>
  <c r="Z185" i="9"/>
  <c r="T185" i="9" s="1"/>
  <c r="U283" i="9" l="1"/>
  <c r="V283" i="9" s="1"/>
  <c r="AB63" i="7"/>
  <c r="U281" i="9"/>
  <c r="V281" i="9" s="1"/>
  <c r="AB62" i="7"/>
  <c r="U185" i="9"/>
  <c r="V185" i="9" s="1"/>
  <c r="AB35" i="7"/>
  <c r="AB61" i="7" l="1"/>
  <c r="Z8" i="9"/>
  <c r="AB60" i="7" l="1"/>
  <c r="T117" i="9" l="1"/>
  <c r="T114" i="9"/>
  <c r="Z103" i="9"/>
  <c r="Z92" i="9"/>
  <c r="Z82" i="9"/>
  <c r="Z50" i="9"/>
  <c r="T41" i="9"/>
  <c r="Z35" i="9"/>
  <c r="Z32" i="9"/>
  <c r="Z31" i="9"/>
  <c r="X12" i="8"/>
  <c r="X13" i="8"/>
  <c r="U41" i="9" l="1"/>
  <c r="V41" i="9" s="1"/>
  <c r="AB12" i="7"/>
  <c r="U114" i="9"/>
  <c r="V114" i="9" s="1"/>
  <c r="AB23" i="7"/>
  <c r="U118" i="9"/>
  <c r="V118" i="9" s="1"/>
  <c r="AB27" i="7"/>
  <c r="U117" i="9"/>
  <c r="V117" i="9" s="1"/>
  <c r="AB26" i="7"/>
  <c r="T8" i="9"/>
  <c r="U8" i="9" l="1"/>
  <c r="V8" i="9" s="1"/>
  <c r="AB8" i="7"/>
  <c r="T280" i="9"/>
  <c r="X41" i="8"/>
  <c r="U52" i="8"/>
  <c r="V52" i="8" s="1"/>
  <c r="U50" i="8"/>
  <c r="V50" i="8" s="1"/>
  <c r="Y33" i="8"/>
  <c r="T279" i="9" l="1"/>
  <c r="T49" i="8"/>
  <c r="X9" i="8"/>
  <c r="T48" i="8" l="1"/>
  <c r="Z54" i="9"/>
  <c r="T278" i="9" l="1"/>
  <c r="AB59" i="7" s="1"/>
  <c r="Z86" i="9"/>
  <c r="Z106" i="9"/>
  <c r="Z63" i="7"/>
  <c r="Z62" i="7"/>
  <c r="Z59" i="7"/>
  <c r="Z58" i="7" s="1"/>
  <c r="Z57" i="7" s="1"/>
  <c r="Z46" i="7"/>
  <c r="Z44" i="7"/>
  <c r="Z42" i="7"/>
  <c r="Z41" i="7"/>
  <c r="Z37" i="7"/>
  <c r="Z36" i="7"/>
  <c r="Z35" i="7"/>
  <c r="Z34" i="7"/>
  <c r="Z33" i="7"/>
  <c r="Z31" i="7"/>
  <c r="Z28" i="7"/>
  <c r="Z27" i="7"/>
  <c r="Z26" i="7"/>
  <c r="Z23" i="7"/>
  <c r="Z22" i="7"/>
  <c r="Z21" i="7"/>
  <c r="Z20" i="7"/>
  <c r="Z19" i="7"/>
  <c r="Z18" i="7"/>
  <c r="Z16" i="7"/>
  <c r="Z15" i="7"/>
  <c r="Z14" i="7"/>
  <c r="Z12" i="7"/>
  <c r="Z11" i="7"/>
  <c r="Z10" i="7"/>
  <c r="Z9" i="7"/>
  <c r="Z8" i="7"/>
  <c r="R46" i="9"/>
  <c r="R280" i="9"/>
  <c r="R279" i="9" s="1"/>
  <c r="R277" i="9"/>
  <c r="R276" i="9" s="1"/>
  <c r="R128" i="9"/>
  <c r="R127" i="9" s="1"/>
  <c r="R116" i="9"/>
  <c r="R115" i="9" s="1"/>
  <c r="R59" i="9"/>
  <c r="R7" i="9"/>
  <c r="M39" i="7"/>
  <c r="M38" i="7"/>
  <c r="M36" i="7"/>
  <c r="M35" i="7"/>
  <c r="M31" i="7"/>
  <c r="M30" i="7"/>
  <c r="M28" i="7"/>
  <c r="M27" i="7" s="1"/>
  <c r="M25" i="7"/>
  <c r="M24" i="7" s="1"/>
  <c r="M9" i="7"/>
  <c r="Y55" i="8"/>
  <c r="T55" i="8" s="1"/>
  <c r="O38" i="7" s="1"/>
  <c r="R54" i="8"/>
  <c r="R53" i="8" s="1"/>
  <c r="R49" i="8"/>
  <c r="R48" i="8" s="1"/>
  <c r="R40" i="8"/>
  <c r="R39" i="8" s="1"/>
  <c r="R37" i="8"/>
  <c r="R36" i="8" s="1"/>
  <c r="R30" i="8"/>
  <c r="R29" i="8" s="1"/>
  <c r="M34" i="7" l="1"/>
  <c r="M29" i="7"/>
  <c r="M37" i="7"/>
  <c r="AB58" i="7"/>
  <c r="U278" i="9"/>
  <c r="V278" i="9" s="1"/>
  <c r="T277" i="9"/>
  <c r="U55" i="8"/>
  <c r="V55" i="8" s="1"/>
  <c r="Z61" i="7"/>
  <c r="Z60" i="7" s="1"/>
  <c r="Z30" i="7"/>
  <c r="Z29" i="7" s="1"/>
  <c r="Z17" i="7"/>
  <c r="Z7" i="7"/>
  <c r="Z13" i="7"/>
  <c r="Z25" i="7"/>
  <c r="Z24" i="7" s="1"/>
  <c r="R6" i="9"/>
  <c r="R5" i="9" s="1"/>
  <c r="Y41" i="8"/>
  <c r="T41" i="8" s="1"/>
  <c r="Y26" i="7"/>
  <c r="L38" i="7"/>
  <c r="Z135" i="9"/>
  <c r="Z123" i="9"/>
  <c r="Z121" i="9"/>
  <c r="Z40" i="9"/>
  <c r="T36" i="9" s="1"/>
  <c r="Z25" i="9"/>
  <c r="Z24" i="9"/>
  <c r="N35" i="7"/>
  <c r="P35" i="7" s="1"/>
  <c r="Q35" i="7" s="1"/>
  <c r="O30" i="7" l="1"/>
  <c r="T24" i="9"/>
  <c r="AB9" i="7" s="1"/>
  <c r="AB57" i="7"/>
  <c r="T276" i="9"/>
  <c r="U41" i="8"/>
  <c r="V41" i="8" s="1"/>
  <c r="Z6" i="7"/>
  <c r="Z5" i="7" s="1"/>
  <c r="Y44" i="8"/>
  <c r="T44" i="8" s="1"/>
  <c r="T40" i="8" s="1"/>
  <c r="U24" i="9" l="1"/>
  <c r="V24" i="9" s="1"/>
  <c r="U44" i="8"/>
  <c r="V44" i="8" s="1"/>
  <c r="O31" i="7"/>
  <c r="O29" i="7" s="1"/>
  <c r="U36" i="9"/>
  <c r="V36" i="9" s="1"/>
  <c r="AB11" i="7"/>
  <c r="T39" i="8"/>
  <c r="Y63" i="7"/>
  <c r="Y62" i="7"/>
  <c r="Y59" i="7"/>
  <c r="Y58" i="7" s="1"/>
  <c r="Y57" i="7" s="1"/>
  <c r="Y46" i="7"/>
  <c r="Y44" i="7"/>
  <c r="Y42" i="7"/>
  <c r="Y41" i="7"/>
  <c r="Y37" i="7"/>
  <c r="Y36" i="7"/>
  <c r="Y35" i="7"/>
  <c r="Y34" i="7"/>
  <c r="Y33" i="7"/>
  <c r="Y31" i="7"/>
  <c r="Y28" i="7"/>
  <c r="Y27" i="7"/>
  <c r="Y23" i="7"/>
  <c r="Y22" i="7"/>
  <c r="Y21" i="7"/>
  <c r="Y20" i="7"/>
  <c r="Y19" i="7"/>
  <c r="Y18" i="7"/>
  <c r="Y16" i="7"/>
  <c r="Y15" i="7"/>
  <c r="Y14" i="7"/>
  <c r="Y12" i="7"/>
  <c r="Y11" i="7"/>
  <c r="Y10" i="7"/>
  <c r="Y9" i="7"/>
  <c r="Y8" i="7"/>
  <c r="L39" i="7"/>
  <c r="L37" i="7" s="1"/>
  <c r="L36" i="7"/>
  <c r="L35" i="7"/>
  <c r="L31" i="7"/>
  <c r="L30" i="7"/>
  <c r="L28" i="7"/>
  <c r="L27" i="7" s="1"/>
  <c r="L25" i="7"/>
  <c r="L24" i="7" s="1"/>
  <c r="L9" i="7"/>
  <c r="L7" i="7"/>
  <c r="Q279" i="9"/>
  <c r="Q277" i="9"/>
  <c r="Q276" i="9" s="1"/>
  <c r="Q128" i="9"/>
  <c r="Q127" i="9" s="1"/>
  <c r="Q116" i="9"/>
  <c r="Q115" i="9" s="1"/>
  <c r="Q59" i="9"/>
  <c r="Q7" i="9"/>
  <c r="Q54" i="8"/>
  <c r="Q53" i="8" s="1"/>
  <c r="Q49" i="8"/>
  <c r="Q48" i="8" s="1"/>
  <c r="Q40" i="8"/>
  <c r="Q39" i="8" s="1"/>
  <c r="Q37" i="8"/>
  <c r="Q36" i="8" s="1"/>
  <c r="Q30" i="8"/>
  <c r="Q29" i="8" s="1"/>
  <c r="Q8" i="8"/>
  <c r="Q7" i="8" s="1"/>
  <c r="Q6" i="8" s="1"/>
  <c r="P280" i="9"/>
  <c r="P279" i="9" s="1"/>
  <c r="O280" i="9"/>
  <c r="O279" i="9" s="1"/>
  <c r="N280" i="9"/>
  <c r="N279" i="9" s="1"/>
  <c r="M280" i="9"/>
  <c r="M279" i="9" s="1"/>
  <c r="L280" i="9"/>
  <c r="L279" i="9" s="1"/>
  <c r="K280" i="9"/>
  <c r="K279" i="9" s="1"/>
  <c r="J280" i="9"/>
  <c r="J279" i="9" s="1"/>
  <c r="I280" i="9"/>
  <c r="I279" i="9" s="1"/>
  <c r="H280" i="9"/>
  <c r="H279" i="9" s="1"/>
  <c r="G280" i="9"/>
  <c r="G279" i="9" s="1"/>
  <c r="F280" i="9"/>
  <c r="F279" i="9" s="1"/>
  <c r="E280" i="9"/>
  <c r="E279" i="9" s="1"/>
  <c r="D280" i="9"/>
  <c r="D279" i="9" s="1"/>
  <c r="P277" i="9"/>
  <c r="P276" i="9" s="1"/>
  <c r="O277" i="9"/>
  <c r="O276" i="9" s="1"/>
  <c r="N277" i="9"/>
  <c r="N276" i="9" s="1"/>
  <c r="M277" i="9"/>
  <c r="M276" i="9" s="1"/>
  <c r="L277" i="9"/>
  <c r="L276" i="9" s="1"/>
  <c r="K277" i="9"/>
  <c r="K276" i="9" s="1"/>
  <c r="J277" i="9"/>
  <c r="J276" i="9" s="1"/>
  <c r="I277" i="9"/>
  <c r="I276" i="9" s="1"/>
  <c r="H277" i="9"/>
  <c r="H276" i="9" s="1"/>
  <c r="G277" i="9"/>
  <c r="G276" i="9" s="1"/>
  <c r="F277" i="9"/>
  <c r="F276" i="9" s="1"/>
  <c r="E277" i="9"/>
  <c r="E276" i="9" s="1"/>
  <c r="D277" i="9"/>
  <c r="D276" i="9" s="1"/>
  <c r="Z256" i="9"/>
  <c r="Z255" i="9"/>
  <c r="Z254" i="9"/>
  <c r="Z253" i="9"/>
  <c r="Z251" i="9"/>
  <c r="Z243" i="9"/>
  <c r="Z242" i="9"/>
  <c r="Z241" i="9"/>
  <c r="Z240" i="9"/>
  <c r="Z192" i="9"/>
  <c r="Z191" i="9"/>
  <c r="Z187" i="9"/>
  <c r="Z181" i="9"/>
  <c r="Z180" i="9"/>
  <c r="Z178" i="9"/>
  <c r="Z177" i="9"/>
  <c r="Z175" i="9"/>
  <c r="Z132" i="9"/>
  <c r="Z131" i="9"/>
  <c r="P128" i="9"/>
  <c r="P127" i="9" s="1"/>
  <c r="O128" i="9"/>
  <c r="O127" i="9" s="1"/>
  <c r="N128" i="9"/>
  <c r="N127" i="9" s="1"/>
  <c r="M128" i="9"/>
  <c r="M127" i="9" s="1"/>
  <c r="L128" i="9"/>
  <c r="L127" i="9" s="1"/>
  <c r="K128" i="9"/>
  <c r="K127" i="9" s="1"/>
  <c r="J128" i="9"/>
  <c r="I128" i="9"/>
  <c r="H128" i="9"/>
  <c r="G128" i="9"/>
  <c r="F128" i="9"/>
  <c r="E128" i="9"/>
  <c r="D128" i="9"/>
  <c r="J127" i="9"/>
  <c r="I127" i="9"/>
  <c r="H127" i="9"/>
  <c r="G127" i="9"/>
  <c r="F127" i="9"/>
  <c r="E127" i="9"/>
  <c r="D127" i="9"/>
  <c r="Z126" i="9"/>
  <c r="Z125" i="9"/>
  <c r="H118" i="9"/>
  <c r="H116" i="9" s="1"/>
  <c r="H115" i="9" s="1"/>
  <c r="F118" i="9"/>
  <c r="F117" i="9"/>
  <c r="P116" i="9"/>
  <c r="P115" i="9" s="1"/>
  <c r="O116" i="9"/>
  <c r="O115" i="9" s="1"/>
  <c r="N116" i="9"/>
  <c r="N115" i="9" s="1"/>
  <c r="M116" i="9"/>
  <c r="M115" i="9" s="1"/>
  <c r="L116" i="9"/>
  <c r="L115" i="9" s="1"/>
  <c r="K116" i="9"/>
  <c r="K115" i="9" s="1"/>
  <c r="J116" i="9"/>
  <c r="J115" i="9" s="1"/>
  <c r="I116" i="9"/>
  <c r="I115" i="9" s="1"/>
  <c r="G116" i="9"/>
  <c r="G115" i="9" s="1"/>
  <c r="E116" i="9"/>
  <c r="E115" i="9" s="1"/>
  <c r="D116" i="9"/>
  <c r="D115" i="9" s="1"/>
  <c r="Z112" i="9"/>
  <c r="Z111" i="9"/>
  <c r="Z110" i="9"/>
  <c r="Z109" i="9"/>
  <c r="Z108" i="9"/>
  <c r="Z105" i="9"/>
  <c r="Z104" i="9"/>
  <c r="Z102" i="9"/>
  <c r="Z101" i="9"/>
  <c r="Z100" i="9"/>
  <c r="Z99" i="9"/>
  <c r="Z98" i="9"/>
  <c r="Z95" i="9"/>
  <c r="Z94" i="9"/>
  <c r="Z93" i="9"/>
  <c r="Z90" i="9"/>
  <c r="Z84" i="9"/>
  <c r="Z81" i="9"/>
  <c r="Z79" i="9"/>
  <c r="Z78" i="9"/>
  <c r="Z77" i="9"/>
  <c r="Z75" i="9"/>
  <c r="Z74" i="9"/>
  <c r="Z73" i="9"/>
  <c r="Z72" i="9"/>
  <c r="Z68" i="9"/>
  <c r="Z66" i="9"/>
  <c r="Z65" i="9"/>
  <c r="Z64" i="9"/>
  <c r="Z63" i="9"/>
  <c r="Z62" i="9"/>
  <c r="Z61" i="9"/>
  <c r="Z60" i="9"/>
  <c r="T60" i="9" s="1"/>
  <c r="AB18" i="7" s="1"/>
  <c r="P59" i="9"/>
  <c r="O59" i="9"/>
  <c r="N59" i="9"/>
  <c r="M59" i="9"/>
  <c r="L59" i="9"/>
  <c r="K59" i="9"/>
  <c r="J59" i="9"/>
  <c r="I59" i="9"/>
  <c r="H59" i="9"/>
  <c r="G59" i="9"/>
  <c r="F59" i="9"/>
  <c r="E59" i="9"/>
  <c r="D59" i="9"/>
  <c r="Z57" i="9"/>
  <c r="Z56" i="9"/>
  <c r="Z55" i="9"/>
  <c r="Z51" i="9"/>
  <c r="Z49" i="9"/>
  <c r="Z48" i="9"/>
  <c r="Z47" i="9"/>
  <c r="P46" i="9"/>
  <c r="O46" i="9"/>
  <c r="N46" i="9"/>
  <c r="M46" i="9"/>
  <c r="L46" i="9"/>
  <c r="K46" i="9"/>
  <c r="J46" i="9"/>
  <c r="I46" i="9"/>
  <c r="H46" i="9"/>
  <c r="G46" i="9"/>
  <c r="F46" i="9"/>
  <c r="E46" i="9"/>
  <c r="D46" i="9"/>
  <c r="Z34" i="9"/>
  <c r="Z33" i="9"/>
  <c r="Z30" i="9"/>
  <c r="P7" i="9"/>
  <c r="O7" i="9"/>
  <c r="N7" i="9"/>
  <c r="M7" i="9"/>
  <c r="L7" i="9"/>
  <c r="K7" i="9"/>
  <c r="J7" i="9"/>
  <c r="I7" i="9"/>
  <c r="H7" i="9"/>
  <c r="G7" i="9"/>
  <c r="F7" i="9"/>
  <c r="E7" i="9"/>
  <c r="D7" i="9"/>
  <c r="K55" i="8"/>
  <c r="K54" i="8" s="1"/>
  <c r="K53" i="8" s="1"/>
  <c r="P54" i="8"/>
  <c r="P53" i="8" s="1"/>
  <c r="O54" i="8"/>
  <c r="O53" i="8" s="1"/>
  <c r="N54" i="8"/>
  <c r="N53" i="8" s="1"/>
  <c r="M54" i="8"/>
  <c r="M53" i="8" s="1"/>
  <c r="L54" i="8"/>
  <c r="L53" i="8" s="1"/>
  <c r="J54" i="8"/>
  <c r="J53" i="8" s="1"/>
  <c r="I54" i="8"/>
  <c r="I53" i="8" s="1"/>
  <c r="H54" i="8"/>
  <c r="H53" i="8" s="1"/>
  <c r="G54" i="8"/>
  <c r="G53" i="8" s="1"/>
  <c r="F54" i="8"/>
  <c r="F53" i="8" s="1"/>
  <c r="E54" i="8"/>
  <c r="E53" i="8" s="1"/>
  <c r="D54" i="8"/>
  <c r="D53" i="8" s="1"/>
  <c r="N36" i="7"/>
  <c r="P36" i="7" s="1"/>
  <c r="Q36" i="7" s="1"/>
  <c r="K52" i="8"/>
  <c r="K50" i="8"/>
  <c r="P49" i="8"/>
  <c r="P48" i="8" s="1"/>
  <c r="O49" i="8"/>
  <c r="O48" i="8" s="1"/>
  <c r="N49" i="8"/>
  <c r="N48" i="8" s="1"/>
  <c r="M49" i="8"/>
  <c r="M48" i="8" s="1"/>
  <c r="L49" i="8"/>
  <c r="L48" i="8" s="1"/>
  <c r="J49" i="8"/>
  <c r="J48" i="8" s="1"/>
  <c r="I49" i="8"/>
  <c r="I48" i="8" s="1"/>
  <c r="H49" i="8"/>
  <c r="H48" i="8" s="1"/>
  <c r="G49" i="8"/>
  <c r="G48" i="8" s="1"/>
  <c r="F49" i="8"/>
  <c r="F48" i="8" s="1"/>
  <c r="E49" i="8"/>
  <c r="E48" i="8" s="1"/>
  <c r="D49" i="8"/>
  <c r="D48" i="8" s="1"/>
  <c r="P40" i="8"/>
  <c r="P39" i="8" s="1"/>
  <c r="O40" i="8"/>
  <c r="O39" i="8" s="1"/>
  <c r="N40" i="8"/>
  <c r="N39" i="8" s="1"/>
  <c r="M40" i="8"/>
  <c r="M39" i="8" s="1"/>
  <c r="K40" i="8"/>
  <c r="K39" i="8" s="1"/>
  <c r="J40" i="8"/>
  <c r="J39" i="8" s="1"/>
  <c r="I40" i="8"/>
  <c r="I39" i="8" s="1"/>
  <c r="H40" i="8"/>
  <c r="H39" i="8" s="1"/>
  <c r="G40" i="8"/>
  <c r="G39" i="8" s="1"/>
  <c r="F40" i="8"/>
  <c r="F39" i="8" s="1"/>
  <c r="E40" i="8"/>
  <c r="E39" i="8" s="1"/>
  <c r="D40" i="8"/>
  <c r="D39" i="8" s="1"/>
  <c r="L39" i="8"/>
  <c r="Y38" i="8"/>
  <c r="T38" i="8" s="1"/>
  <c r="O28" i="7" s="1"/>
  <c r="P37" i="8"/>
  <c r="P36" i="8" s="1"/>
  <c r="O37" i="8"/>
  <c r="O36" i="8" s="1"/>
  <c r="N37" i="8"/>
  <c r="N36" i="8" s="1"/>
  <c r="M37" i="8"/>
  <c r="M36" i="8" s="1"/>
  <c r="L37" i="8"/>
  <c r="L36" i="8" s="1"/>
  <c r="K37" i="8"/>
  <c r="K36" i="8" s="1"/>
  <c r="J37" i="8"/>
  <c r="J36" i="8" s="1"/>
  <c r="I37" i="8"/>
  <c r="I36" i="8" s="1"/>
  <c r="H37" i="8"/>
  <c r="H36" i="8" s="1"/>
  <c r="G37" i="8"/>
  <c r="G36" i="8" s="1"/>
  <c r="F37" i="8"/>
  <c r="F36" i="8" s="1"/>
  <c r="E37" i="8"/>
  <c r="E36" i="8" s="1"/>
  <c r="D37" i="8"/>
  <c r="D36" i="8" s="1"/>
  <c r="X34" i="8"/>
  <c r="Y34" i="8" s="1"/>
  <c r="X32" i="8"/>
  <c r="Y32" i="8" s="1"/>
  <c r="Y31" i="8"/>
  <c r="P30" i="8"/>
  <c r="P29" i="8" s="1"/>
  <c r="O30" i="8"/>
  <c r="O29" i="8" s="1"/>
  <c r="N30" i="8"/>
  <c r="N29" i="8" s="1"/>
  <c r="M30" i="8"/>
  <c r="M29" i="8" s="1"/>
  <c r="L30" i="8"/>
  <c r="L29" i="8" s="1"/>
  <c r="K30" i="8"/>
  <c r="K29" i="8" s="1"/>
  <c r="J30" i="8"/>
  <c r="J29" i="8" s="1"/>
  <c r="I30" i="8"/>
  <c r="I29" i="8" s="1"/>
  <c r="H30" i="8"/>
  <c r="H29" i="8" s="1"/>
  <c r="G30" i="8"/>
  <c r="G29" i="8" s="1"/>
  <c r="E30" i="8"/>
  <c r="E29" i="8" s="1"/>
  <c r="D30" i="8"/>
  <c r="D29" i="8" s="1"/>
  <c r="F29" i="8"/>
  <c r="P8" i="8"/>
  <c r="P7" i="8" s="1"/>
  <c r="P6" i="8" s="1"/>
  <c r="O8" i="8"/>
  <c r="O7" i="8" s="1"/>
  <c r="O6" i="8" s="1"/>
  <c r="N8" i="8"/>
  <c r="N7" i="8" s="1"/>
  <c r="N6" i="8" s="1"/>
  <c r="M8" i="8"/>
  <c r="M7" i="8" s="1"/>
  <c r="M6" i="8" s="1"/>
  <c r="L8" i="8"/>
  <c r="L7" i="8" s="1"/>
  <c r="L6" i="8" s="1"/>
  <c r="J8" i="8"/>
  <c r="J7" i="8" s="1"/>
  <c r="J6" i="8" s="1"/>
  <c r="I8" i="8"/>
  <c r="I7" i="8" s="1"/>
  <c r="I6" i="8" s="1"/>
  <c r="H8" i="8"/>
  <c r="H7" i="8" s="1"/>
  <c r="H6" i="8" s="1"/>
  <c r="G8" i="8"/>
  <c r="G7" i="8" s="1"/>
  <c r="G6" i="8" s="1"/>
  <c r="F8" i="8"/>
  <c r="F7" i="8" s="1"/>
  <c r="F6" i="8" s="1"/>
  <c r="E8" i="8"/>
  <c r="E7" i="8" s="1"/>
  <c r="E6" i="8" s="1"/>
  <c r="D8" i="8"/>
  <c r="D7" i="8" s="1"/>
  <c r="D6" i="8" s="1"/>
  <c r="X63" i="7"/>
  <c r="W63" i="7"/>
  <c r="V63" i="7"/>
  <c r="U63" i="7"/>
  <c r="X62" i="7"/>
  <c r="W62" i="7"/>
  <c r="V62" i="7"/>
  <c r="U62" i="7"/>
  <c r="X59" i="7"/>
  <c r="X58" i="7" s="1"/>
  <c r="W59" i="7"/>
  <c r="W58" i="7" s="1"/>
  <c r="W57" i="7" s="1"/>
  <c r="V59" i="7"/>
  <c r="V58" i="7" s="1"/>
  <c r="V57" i="7" s="1"/>
  <c r="U59" i="7"/>
  <c r="U58" i="7" s="1"/>
  <c r="U57" i="7" s="1"/>
  <c r="X46" i="7"/>
  <c r="W46" i="7"/>
  <c r="V46" i="7"/>
  <c r="U46" i="7"/>
  <c r="X44" i="7"/>
  <c r="W44" i="7"/>
  <c r="V44" i="7"/>
  <c r="U44" i="7"/>
  <c r="X42" i="7"/>
  <c r="W42" i="7"/>
  <c r="V42" i="7"/>
  <c r="U42" i="7"/>
  <c r="X41" i="7"/>
  <c r="W41" i="7"/>
  <c r="V41" i="7"/>
  <c r="U41" i="7"/>
  <c r="X37" i="7"/>
  <c r="W37" i="7"/>
  <c r="V37" i="7"/>
  <c r="U37" i="7"/>
  <c r="X36" i="7"/>
  <c r="W36" i="7"/>
  <c r="V36" i="7"/>
  <c r="U36" i="7"/>
  <c r="X35" i="7"/>
  <c r="W35" i="7"/>
  <c r="V35" i="7"/>
  <c r="U35" i="7"/>
  <c r="X34" i="7"/>
  <c r="W34" i="7"/>
  <c r="V34" i="7"/>
  <c r="U34" i="7"/>
  <c r="X33" i="7"/>
  <c r="W33" i="7"/>
  <c r="V33" i="7"/>
  <c r="U33" i="7"/>
  <c r="X31" i="7"/>
  <c r="W31" i="7"/>
  <c r="V31" i="7"/>
  <c r="U31" i="7"/>
  <c r="X28" i="7"/>
  <c r="W28" i="7"/>
  <c r="V28" i="7"/>
  <c r="U28" i="7"/>
  <c r="X27" i="7"/>
  <c r="W27" i="7"/>
  <c r="V27" i="7"/>
  <c r="U27" i="7"/>
  <c r="X26" i="7"/>
  <c r="W26" i="7"/>
  <c r="V26" i="7"/>
  <c r="U26" i="7"/>
  <c r="X23" i="7"/>
  <c r="W23" i="7"/>
  <c r="V23" i="7"/>
  <c r="U23" i="7"/>
  <c r="X22" i="7"/>
  <c r="W22" i="7"/>
  <c r="V22" i="7"/>
  <c r="U22" i="7"/>
  <c r="K39" i="7"/>
  <c r="J39" i="7"/>
  <c r="I39" i="7"/>
  <c r="H39" i="7"/>
  <c r="F39" i="7"/>
  <c r="E39" i="7"/>
  <c r="D39" i="7"/>
  <c r="X21" i="7"/>
  <c r="W21" i="7"/>
  <c r="V21" i="7"/>
  <c r="U21" i="7"/>
  <c r="K38" i="7"/>
  <c r="J38" i="7"/>
  <c r="I38" i="7"/>
  <c r="H38" i="7"/>
  <c r="F38" i="7"/>
  <c r="E38" i="7"/>
  <c r="D38" i="7"/>
  <c r="D37" i="7" s="1"/>
  <c r="X20" i="7"/>
  <c r="W20" i="7"/>
  <c r="V20" i="7"/>
  <c r="U20" i="7"/>
  <c r="G37" i="7"/>
  <c r="X19" i="7"/>
  <c r="W19" i="7"/>
  <c r="V19" i="7"/>
  <c r="U19" i="7"/>
  <c r="K36" i="7"/>
  <c r="J36" i="7"/>
  <c r="I36" i="7"/>
  <c r="H36" i="7"/>
  <c r="F36" i="7"/>
  <c r="E36" i="7"/>
  <c r="D36" i="7"/>
  <c r="X18" i="7"/>
  <c r="W18" i="7"/>
  <c r="V18" i="7"/>
  <c r="U18" i="7"/>
  <c r="K35" i="7"/>
  <c r="J35" i="7"/>
  <c r="I35" i="7"/>
  <c r="H35" i="7"/>
  <c r="F35" i="7"/>
  <c r="E35" i="7"/>
  <c r="D35" i="7"/>
  <c r="D34" i="7" s="1"/>
  <c r="G34" i="7"/>
  <c r="X16" i="7"/>
  <c r="W16" i="7"/>
  <c r="V16" i="7"/>
  <c r="U16" i="7"/>
  <c r="K31" i="7"/>
  <c r="J31" i="7"/>
  <c r="I31" i="7"/>
  <c r="H31" i="7"/>
  <c r="G31" i="7"/>
  <c r="G29" i="7" s="1"/>
  <c r="F31" i="7"/>
  <c r="E31" i="7"/>
  <c r="D31" i="7"/>
  <c r="X15" i="7"/>
  <c r="W15" i="7"/>
  <c r="V15" i="7"/>
  <c r="U15" i="7"/>
  <c r="K30" i="7"/>
  <c r="J30" i="7"/>
  <c r="I30" i="7"/>
  <c r="H30" i="7"/>
  <c r="F30" i="7"/>
  <c r="E30" i="7"/>
  <c r="D30" i="7"/>
  <c r="D29" i="7" s="1"/>
  <c r="X14" i="7"/>
  <c r="W14" i="7"/>
  <c r="V14" i="7"/>
  <c r="U14" i="7"/>
  <c r="K28" i="7"/>
  <c r="K27" i="7" s="1"/>
  <c r="J28" i="7"/>
  <c r="J27" i="7" s="1"/>
  <c r="I28" i="7"/>
  <c r="I27" i="7" s="1"/>
  <c r="H28" i="7"/>
  <c r="H27" i="7" s="1"/>
  <c r="F28" i="7"/>
  <c r="F27" i="7" s="1"/>
  <c r="E28" i="7"/>
  <c r="E27" i="7" s="1"/>
  <c r="D28" i="7"/>
  <c r="D27" i="7" s="1"/>
  <c r="X12" i="7"/>
  <c r="W12" i="7"/>
  <c r="V12" i="7"/>
  <c r="U12" i="7"/>
  <c r="G27" i="7"/>
  <c r="X11" i="7"/>
  <c r="W11" i="7"/>
  <c r="V11" i="7"/>
  <c r="U11" i="7"/>
  <c r="X10" i="7"/>
  <c r="W10" i="7"/>
  <c r="V10" i="7"/>
  <c r="U10" i="7"/>
  <c r="K25" i="7"/>
  <c r="K24" i="7" s="1"/>
  <c r="J25" i="7"/>
  <c r="J24" i="7" s="1"/>
  <c r="I25" i="7"/>
  <c r="I24" i="7" s="1"/>
  <c r="H25" i="7"/>
  <c r="H24" i="7" s="1"/>
  <c r="F25" i="7"/>
  <c r="F24" i="7" s="1"/>
  <c r="E25" i="7"/>
  <c r="E24" i="7" s="1"/>
  <c r="D25" i="7"/>
  <c r="D24" i="7" s="1"/>
  <c r="X9" i="7"/>
  <c r="W9" i="7"/>
  <c r="V9" i="7"/>
  <c r="U9" i="7"/>
  <c r="G24" i="7"/>
  <c r="X8" i="7"/>
  <c r="W8" i="7"/>
  <c r="V8" i="7"/>
  <c r="U8" i="7"/>
  <c r="K9" i="7"/>
  <c r="J9" i="7"/>
  <c r="I9" i="7"/>
  <c r="H9" i="7"/>
  <c r="F9" i="7"/>
  <c r="E9" i="7"/>
  <c r="D9" i="7"/>
  <c r="K7" i="7"/>
  <c r="J7" i="7"/>
  <c r="I7" i="7"/>
  <c r="H7" i="7"/>
  <c r="F7" i="7"/>
  <c r="E7" i="7"/>
  <c r="D7" i="7"/>
  <c r="D6" i="7" s="1"/>
  <c r="G6" i="7"/>
  <c r="T26" i="9" l="1"/>
  <c r="AB10" i="7" s="1"/>
  <c r="T174" i="9"/>
  <c r="T251" i="9"/>
  <c r="T129" i="9"/>
  <c r="O27" i="7"/>
  <c r="L29" i="7"/>
  <c r="T47" i="9"/>
  <c r="AB14" i="7" s="1"/>
  <c r="T172" i="9"/>
  <c r="T31" i="8"/>
  <c r="T48" i="9"/>
  <c r="T237" i="9"/>
  <c r="T121" i="9"/>
  <c r="AB28" i="7" s="1"/>
  <c r="T61" i="9"/>
  <c r="T107" i="9"/>
  <c r="T242" i="9"/>
  <c r="T86" i="9"/>
  <c r="T191" i="9"/>
  <c r="T51" i="9"/>
  <c r="T79" i="9"/>
  <c r="U60" i="9"/>
  <c r="V60" i="9" s="1"/>
  <c r="T187" i="9"/>
  <c r="U38" i="8"/>
  <c r="V38" i="8" s="1"/>
  <c r="T37" i="8"/>
  <c r="N34" i="7"/>
  <c r="P34" i="7" s="1"/>
  <c r="Q34" i="7" s="1"/>
  <c r="Y9" i="8"/>
  <c r="T9" i="8" s="1"/>
  <c r="R9" i="8"/>
  <c r="F37" i="7"/>
  <c r="AA63" i="7"/>
  <c r="AC63" i="7" s="1"/>
  <c r="AD63" i="7" s="1"/>
  <c r="K6" i="9"/>
  <c r="K5" i="9" s="1"/>
  <c r="J6" i="9"/>
  <c r="J5" i="9" s="1"/>
  <c r="E6" i="9"/>
  <c r="E5" i="9" s="1"/>
  <c r="M6" i="9"/>
  <c r="M5" i="9" s="1"/>
  <c r="AA59" i="7"/>
  <c r="AC59" i="7" s="1"/>
  <c r="AD59" i="7" s="1"/>
  <c r="Y25" i="7"/>
  <c r="Y24" i="7" s="1"/>
  <c r="F6" i="7"/>
  <c r="E34" i="7"/>
  <c r="Y61" i="7"/>
  <c r="Y60" i="7" s="1"/>
  <c r="N28" i="7"/>
  <c r="P28" i="7" s="1"/>
  <c r="Q28" i="7" s="1"/>
  <c r="N38" i="7"/>
  <c r="P38" i="7" s="1"/>
  <c r="Q38" i="7" s="1"/>
  <c r="N31" i="7"/>
  <c r="P31" i="7" s="1"/>
  <c r="Q31" i="7" s="1"/>
  <c r="K49" i="8"/>
  <c r="K48" i="8" s="1"/>
  <c r="H6" i="7"/>
  <c r="I34" i="7"/>
  <c r="J34" i="7"/>
  <c r="L34" i="7"/>
  <c r="W243" i="9"/>
  <c r="I6" i="9"/>
  <c r="I5" i="9" s="1"/>
  <c r="F116" i="9"/>
  <c r="F115" i="9" s="1"/>
  <c r="Y13" i="7"/>
  <c r="V25" i="7"/>
  <c r="V24" i="7" s="1"/>
  <c r="H6" i="9"/>
  <c r="H5" i="9" s="1"/>
  <c r="V13" i="7"/>
  <c r="P6" i="9"/>
  <c r="P5" i="9" s="1"/>
  <c r="AA26" i="7"/>
  <c r="AC26" i="7" s="1"/>
  <c r="AD26" i="7" s="1"/>
  <c r="Y17" i="7"/>
  <c r="N30" i="7"/>
  <c r="J6" i="7"/>
  <c r="G5" i="7"/>
  <c r="I6" i="7"/>
  <c r="L6" i="7"/>
  <c r="Y30" i="7"/>
  <c r="Y29" i="7" s="1"/>
  <c r="U13" i="7"/>
  <c r="W61" i="7"/>
  <c r="W60" i="7" s="1"/>
  <c r="G6" i="9"/>
  <c r="G5" i="9" s="1"/>
  <c r="O6" i="9"/>
  <c r="O5" i="9" s="1"/>
  <c r="Y7" i="7"/>
  <c r="J37" i="7"/>
  <c r="K29" i="7"/>
  <c r="H29" i="7"/>
  <c r="F29" i="7"/>
  <c r="Q6" i="9"/>
  <c r="Q5" i="9" s="1"/>
  <c r="Q5" i="8"/>
  <c r="AA18" i="7"/>
  <c r="AC18" i="7" s="1"/>
  <c r="AD18" i="7" s="1"/>
  <c r="X61" i="7"/>
  <c r="X60" i="7" s="1"/>
  <c r="F6" i="9"/>
  <c r="N6" i="9"/>
  <c r="N5" i="9" s="1"/>
  <c r="AA62" i="7"/>
  <c r="AC62" i="7" s="1"/>
  <c r="AD62" i="7" s="1"/>
  <c r="S37" i="8"/>
  <c r="S36" i="8" s="1"/>
  <c r="F5" i="8"/>
  <c r="G5" i="8"/>
  <c r="Y12" i="8"/>
  <c r="T12" i="8" s="1"/>
  <c r="O9" i="7" s="1"/>
  <c r="J5" i="8"/>
  <c r="O39" i="7"/>
  <c r="X13" i="7"/>
  <c r="V30" i="7"/>
  <c r="V29" i="7" s="1"/>
  <c r="F34" i="7"/>
  <c r="X17" i="7"/>
  <c r="K34" i="7"/>
  <c r="I29" i="7"/>
  <c r="H34" i="7"/>
  <c r="U61" i="7"/>
  <c r="U60" i="7" s="1"/>
  <c r="W7" i="7"/>
  <c r="W13" i="7"/>
  <c r="J29" i="7"/>
  <c r="K37" i="7"/>
  <c r="H37" i="7"/>
  <c r="X25" i="7"/>
  <c r="X24" i="7" s="1"/>
  <c r="V61" i="7"/>
  <c r="V60" i="7" s="1"/>
  <c r="D5" i="7"/>
  <c r="V17" i="7"/>
  <c r="I37" i="7"/>
  <c r="U7" i="7"/>
  <c r="U25" i="7"/>
  <c r="U24" i="7" s="1"/>
  <c r="V7" i="7"/>
  <c r="U17" i="7"/>
  <c r="X7" i="7"/>
  <c r="W17" i="7"/>
  <c r="E37" i="7"/>
  <c r="X30" i="7"/>
  <c r="X29" i="7" s="1"/>
  <c r="W25" i="7"/>
  <c r="W24" i="7" s="1"/>
  <c r="K6" i="7"/>
  <c r="AA35" i="7"/>
  <c r="AC35" i="7" s="1"/>
  <c r="AD35" i="7" s="1"/>
  <c r="D5" i="8"/>
  <c r="P5" i="8"/>
  <c r="H5" i="8"/>
  <c r="D6" i="9"/>
  <c r="D5" i="9" s="1"/>
  <c r="L6" i="9"/>
  <c r="L5" i="9" s="1"/>
  <c r="AA14" i="7"/>
  <c r="W30" i="7"/>
  <c r="W29" i="7" s="1"/>
  <c r="I5" i="8"/>
  <c r="L5" i="8"/>
  <c r="U40" i="8"/>
  <c r="V40" i="8" s="1"/>
  <c r="AA9" i="7"/>
  <c r="AC9" i="7" s="1"/>
  <c r="AD9" i="7" s="1"/>
  <c r="U30" i="7"/>
  <c r="U29" i="7" s="1"/>
  <c r="O5" i="8"/>
  <c r="AA23" i="7"/>
  <c r="AC23" i="7" s="1"/>
  <c r="AD23" i="7" s="1"/>
  <c r="AA27" i="7"/>
  <c r="AC27" i="7" s="1"/>
  <c r="AD27" i="7" s="1"/>
  <c r="E6" i="7"/>
  <c r="E29" i="7"/>
  <c r="M5" i="8"/>
  <c r="S49" i="8"/>
  <c r="U49" i="8" s="1"/>
  <c r="V49" i="8" s="1"/>
  <c r="S54" i="8"/>
  <c r="E5" i="8"/>
  <c r="N5" i="8"/>
  <c r="AA12" i="7"/>
  <c r="AC12" i="7" s="1"/>
  <c r="AD12" i="7" s="1"/>
  <c r="S277" i="9"/>
  <c r="U277" i="9" s="1"/>
  <c r="V277" i="9" s="1"/>
  <c r="S280" i="9"/>
  <c r="U280" i="9" s="1"/>
  <c r="V280" i="9" s="1"/>
  <c r="W175" i="9"/>
  <c r="K9" i="8"/>
  <c r="K8" i="8" s="1"/>
  <c r="K7" i="8" s="1"/>
  <c r="K6" i="8" s="1"/>
  <c r="X57" i="7"/>
  <c r="T128" i="9" l="1"/>
  <c r="AB31" i="7"/>
  <c r="U31" i="8"/>
  <c r="V31" i="8" s="1"/>
  <c r="T30" i="8"/>
  <c r="T29" i="8" s="1"/>
  <c r="T8" i="8"/>
  <c r="T7" i="8" s="1"/>
  <c r="AD46" i="7"/>
  <c r="P30" i="7"/>
  <c r="Q30" i="7" s="1"/>
  <c r="N29" i="7"/>
  <c r="P29" i="7" s="1"/>
  <c r="Q29" i="7" s="1"/>
  <c r="AC14" i="7"/>
  <c r="AD14" i="7" s="1"/>
  <c r="U47" i="9"/>
  <c r="V47" i="9" s="1"/>
  <c r="O37" i="7"/>
  <c r="U9" i="8"/>
  <c r="V9" i="8" s="1"/>
  <c r="O7" i="7"/>
  <c r="O6" i="7" s="1"/>
  <c r="O25" i="7"/>
  <c r="T116" i="9"/>
  <c r="T115" i="9" s="1"/>
  <c r="U121" i="9"/>
  <c r="V121" i="9" s="1"/>
  <c r="U51" i="9"/>
  <c r="V51" i="9" s="1"/>
  <c r="AB16" i="7"/>
  <c r="U107" i="9"/>
  <c r="V107" i="9" s="1"/>
  <c r="AB22" i="7"/>
  <c r="U191" i="9"/>
  <c r="V191" i="9" s="1"/>
  <c r="AB37" i="7"/>
  <c r="AB25" i="7"/>
  <c r="U187" i="9"/>
  <c r="V187" i="9" s="1"/>
  <c r="AB36" i="7"/>
  <c r="U237" i="9"/>
  <c r="V237" i="9" s="1"/>
  <c r="AB41" i="7"/>
  <c r="U251" i="9"/>
  <c r="V251" i="9" s="1"/>
  <c r="AB44" i="7"/>
  <c r="AB7" i="7"/>
  <c r="U86" i="9"/>
  <c r="V86" i="9" s="1"/>
  <c r="AB21" i="7"/>
  <c r="U48" i="9"/>
  <c r="V48" i="9" s="1"/>
  <c r="AB15" i="7"/>
  <c r="U79" i="9"/>
  <c r="V79" i="9" s="1"/>
  <c r="AB20" i="7"/>
  <c r="U242" i="9"/>
  <c r="V242" i="9" s="1"/>
  <c r="AB42" i="7"/>
  <c r="U172" i="9"/>
  <c r="V172" i="9" s="1"/>
  <c r="AB33" i="7"/>
  <c r="U61" i="9"/>
  <c r="V61" i="9" s="1"/>
  <c r="AB19" i="7"/>
  <c r="U174" i="9"/>
  <c r="V174" i="9" s="1"/>
  <c r="AB34" i="7"/>
  <c r="T46" i="9"/>
  <c r="T59" i="9"/>
  <c r="U129" i="9"/>
  <c r="V129" i="9" s="1"/>
  <c r="U26" i="9"/>
  <c r="V26" i="9" s="1"/>
  <c r="T7" i="9"/>
  <c r="T36" i="8"/>
  <c r="U36" i="8" s="1"/>
  <c r="V36" i="8" s="1"/>
  <c r="U37" i="8"/>
  <c r="V37" i="8" s="1"/>
  <c r="U56" i="8"/>
  <c r="V56" i="8" s="1"/>
  <c r="T54" i="8"/>
  <c r="U12" i="8"/>
  <c r="V12" i="8" s="1"/>
  <c r="N7" i="7"/>
  <c r="K5" i="8"/>
  <c r="N39" i="7"/>
  <c r="P39" i="7" s="1"/>
  <c r="Q39" i="7" s="1"/>
  <c r="R8" i="8"/>
  <c r="R7" i="8" s="1"/>
  <c r="R6" i="8" s="1"/>
  <c r="R5" i="8" s="1"/>
  <c r="M7" i="7"/>
  <c r="M6" i="7" s="1"/>
  <c r="M5" i="7" s="1"/>
  <c r="N27" i="7"/>
  <c r="P27" i="7" s="1"/>
  <c r="Q27" i="7" s="1"/>
  <c r="AA22" i="7"/>
  <c r="AA58" i="7"/>
  <c r="AC58" i="7" s="1"/>
  <c r="AD58" i="7" s="1"/>
  <c r="AA31" i="7"/>
  <c r="F5" i="9"/>
  <c r="AA61" i="7"/>
  <c r="AC61" i="7" s="1"/>
  <c r="AD61" i="7" s="1"/>
  <c r="AA15" i="7"/>
  <c r="AA37" i="7"/>
  <c r="AA21" i="7"/>
  <c r="F5" i="7"/>
  <c r="J5" i="7"/>
  <c r="L5" i="7"/>
  <c r="H5" i="7"/>
  <c r="N25" i="7"/>
  <c r="N9" i="7"/>
  <c r="P9" i="7" s="1"/>
  <c r="Q9" i="7" s="1"/>
  <c r="AA34" i="7"/>
  <c r="Y6" i="7"/>
  <c r="Y5" i="7" s="1"/>
  <c r="AA41" i="7"/>
  <c r="AA19" i="7"/>
  <c r="I5" i="7"/>
  <c r="AA44" i="7"/>
  <c r="S116" i="9"/>
  <c r="W6" i="7"/>
  <c r="W5" i="7" s="1"/>
  <c r="S46" i="9"/>
  <c r="AA36" i="7"/>
  <c r="AA10" i="7"/>
  <c r="AC10" i="7" s="1"/>
  <c r="AD10" i="7" s="1"/>
  <c r="AA16" i="7"/>
  <c r="AA11" i="7"/>
  <c r="AC11" i="7" s="1"/>
  <c r="AD11" i="7" s="1"/>
  <c r="X6" i="7"/>
  <c r="X5" i="7" s="1"/>
  <c r="K5" i="7"/>
  <c r="V6" i="7"/>
  <c r="V5" i="7" s="1"/>
  <c r="U6" i="7"/>
  <c r="U5" i="7" s="1"/>
  <c r="E5" i="7"/>
  <c r="AA20" i="7"/>
  <c r="AA42" i="7"/>
  <c r="S279" i="9"/>
  <c r="U279" i="9" s="1"/>
  <c r="V279" i="9" s="1"/>
  <c r="S276" i="9"/>
  <c r="U276" i="9" s="1"/>
  <c r="V276" i="9" s="1"/>
  <c r="S53" i="8"/>
  <c r="S48" i="8"/>
  <c r="U48" i="8" s="1"/>
  <c r="V48" i="8" s="1"/>
  <c r="S39" i="8"/>
  <c r="U39" i="8" s="1"/>
  <c r="V39" i="8" s="1"/>
  <c r="S7" i="9"/>
  <c r="AA8" i="7"/>
  <c r="AC8" i="7" s="1"/>
  <c r="AD8" i="7" s="1"/>
  <c r="AA33" i="7"/>
  <c r="AA28" i="7"/>
  <c r="AC28" i="7" s="1"/>
  <c r="AD28" i="7" s="1"/>
  <c r="S59" i="9"/>
  <c r="N6" i="7" l="1"/>
  <c r="AB30" i="7"/>
  <c r="AA30" i="7"/>
  <c r="AC31" i="7"/>
  <c r="AD31" i="7" s="1"/>
  <c r="AC15" i="7"/>
  <c r="AD15" i="7" s="1"/>
  <c r="AC41" i="7"/>
  <c r="AD41" i="7" s="1"/>
  <c r="AC33" i="7"/>
  <c r="AD33" i="7" s="1"/>
  <c r="AC16" i="7"/>
  <c r="AD16" i="7" s="1"/>
  <c r="AC21" i="7"/>
  <c r="AD21" i="7" s="1"/>
  <c r="AC36" i="7"/>
  <c r="AD36" i="7" s="1"/>
  <c r="AC34" i="7"/>
  <c r="AD34" i="7" s="1"/>
  <c r="AC42" i="7"/>
  <c r="AD42" i="7" s="1"/>
  <c r="AC37" i="7"/>
  <c r="AD37" i="7" s="1"/>
  <c r="U128" i="9"/>
  <c r="V128" i="9" s="1"/>
  <c r="AC44" i="7"/>
  <c r="AD44" i="7" s="1"/>
  <c r="AC19" i="7"/>
  <c r="AD19" i="7" s="1"/>
  <c r="AC20" i="7"/>
  <c r="AD20" i="7" s="1"/>
  <c r="AC22" i="7"/>
  <c r="AD22" i="7" s="1"/>
  <c r="P7" i="7"/>
  <c r="Q7" i="7" s="1"/>
  <c r="P25" i="7"/>
  <c r="Q25" i="7" s="1"/>
  <c r="U30" i="8"/>
  <c r="V30" i="8" s="1"/>
  <c r="U116" i="9"/>
  <c r="V116" i="9" s="1"/>
  <c r="U46" i="9"/>
  <c r="V46" i="9" s="1"/>
  <c r="O24" i="7"/>
  <c r="AB13" i="7"/>
  <c r="AB24" i="7"/>
  <c r="AB17" i="7"/>
  <c r="U7" i="9"/>
  <c r="V7" i="9" s="1"/>
  <c r="T6" i="9"/>
  <c r="T127" i="9"/>
  <c r="U59" i="9"/>
  <c r="V59" i="9" s="1"/>
  <c r="U8" i="8"/>
  <c r="V8" i="8" s="1"/>
  <c r="T53" i="8"/>
  <c r="U53" i="8" s="1"/>
  <c r="V53" i="8" s="1"/>
  <c r="U54" i="8"/>
  <c r="V54" i="8" s="1"/>
  <c r="N37" i="7"/>
  <c r="P37" i="7" s="1"/>
  <c r="Q37" i="7" s="1"/>
  <c r="AA57" i="7"/>
  <c r="AC57" i="7" s="1"/>
  <c r="AD57" i="7" s="1"/>
  <c r="AA60" i="7"/>
  <c r="AC60" i="7" s="1"/>
  <c r="AD60" i="7" s="1"/>
  <c r="N24" i="7"/>
  <c r="S115" i="9"/>
  <c r="U115" i="9" s="1"/>
  <c r="V115" i="9" s="1"/>
  <c r="AA13" i="7"/>
  <c r="S6" i="9"/>
  <c r="AA17" i="7"/>
  <c r="AA7" i="7"/>
  <c r="AC7" i="7" s="1"/>
  <c r="AD7" i="7" s="1"/>
  <c r="S29" i="8"/>
  <c r="U29" i="8" s="1"/>
  <c r="V29" i="8" s="1"/>
  <c r="S127" i="9"/>
  <c r="AA25" i="7"/>
  <c r="AC25" i="7" s="1"/>
  <c r="AD25" i="7" s="1"/>
  <c r="AC17" i="7" l="1"/>
  <c r="AD17" i="7" s="1"/>
  <c r="AC13" i="7"/>
  <c r="AD13" i="7" s="1"/>
  <c r="AC30" i="7"/>
  <c r="AD30" i="7" s="1"/>
  <c r="U127" i="9"/>
  <c r="V127" i="9" s="1"/>
  <c r="P6" i="7"/>
  <c r="Q6" i="7" s="1"/>
  <c r="P24" i="7"/>
  <c r="Q24" i="7" s="1"/>
  <c r="O5" i="7"/>
  <c r="AB6" i="7"/>
  <c r="AB29" i="7"/>
  <c r="T5" i="9"/>
  <c r="U6" i="9"/>
  <c r="V6" i="9" s="1"/>
  <c r="T6" i="8"/>
  <c r="U7" i="8"/>
  <c r="V7" i="8" s="1"/>
  <c r="S6" i="8"/>
  <c r="N5" i="7"/>
  <c r="AA29" i="7"/>
  <c r="S5" i="9"/>
  <c r="AA24" i="7"/>
  <c r="AC24" i="7" s="1"/>
  <c r="AD24" i="7" s="1"/>
  <c r="AA6" i="7"/>
  <c r="AC6" i="7" l="1"/>
  <c r="AD6" i="7" s="1"/>
  <c r="AC29" i="7"/>
  <c r="AD29" i="7" s="1"/>
  <c r="P5" i="7"/>
  <c r="Q5" i="7" s="1"/>
  <c r="AB5" i="7"/>
  <c r="U5" i="9"/>
  <c r="V5" i="9" s="1"/>
  <c r="U6" i="8"/>
  <c r="V6" i="8" s="1"/>
  <c r="T5" i="8"/>
  <c r="S5" i="8"/>
  <c r="B28" i="7"/>
  <c r="B25" i="7"/>
  <c r="B7" i="7"/>
  <c r="B38" i="7"/>
  <c r="B30" i="7"/>
  <c r="B35" i="7"/>
  <c r="AA5" i="7"/>
  <c r="AC5" i="7" l="1"/>
  <c r="AD5" i="7" s="1"/>
  <c r="U5" i="8"/>
  <c r="V5" i="8" s="1"/>
  <c r="R7" i="7"/>
  <c r="R59" i="7"/>
  <c r="S59" i="7"/>
  <c r="S31" i="7"/>
  <c r="S15" i="7"/>
  <c r="S62" i="7"/>
  <c r="R62" i="7"/>
  <c r="S18" i="7"/>
  <c r="S26" i="7"/>
  <c r="R30" i="7"/>
  <c r="S8" i="7"/>
  <c r="R26" i="7"/>
</calcChain>
</file>

<file path=xl/sharedStrings.xml><?xml version="1.0" encoding="utf-8"?>
<sst xmlns="http://schemas.openxmlformats.org/spreadsheetml/2006/main" count="840" uniqueCount="623">
  <si>
    <t>사업수입</t>
    <phoneticPr fontId="3" type="noConversion"/>
  </si>
  <si>
    <t>법인전입금</t>
    <phoneticPr fontId="3" type="noConversion"/>
  </si>
  <si>
    <t>후원금수입</t>
    <phoneticPr fontId="3" type="noConversion"/>
  </si>
  <si>
    <t>기타잡수입</t>
    <phoneticPr fontId="3" type="noConversion"/>
  </si>
  <si>
    <t>재산조성비</t>
    <phoneticPr fontId="3" type="noConversion"/>
  </si>
  <si>
    <t>사업비</t>
    <phoneticPr fontId="3" type="noConversion"/>
  </si>
  <si>
    <t>잡지출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</si>
  <si>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</si>
  <si>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</si>
  <si>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</si>
  <si>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1차추경</t>
    <phoneticPr fontId="3" type="noConversion"/>
  </si>
  <si>
    <t>본예산</t>
    <phoneticPr fontId="3" type="noConversion"/>
  </si>
  <si>
    <t>2020년3차</t>
    <phoneticPr fontId="3" type="noConversion"/>
  </si>
  <si>
    <t>2021년</t>
    <phoneticPr fontId="3" type="noConversion"/>
  </si>
  <si>
    <t>총 계</t>
    <phoneticPr fontId="3" type="noConversion"/>
  </si>
  <si>
    <t>보조금수입</t>
    <phoneticPr fontId="3" type="noConversion"/>
  </si>
  <si>
    <t>소계</t>
    <phoneticPr fontId="3" type="noConversion"/>
  </si>
  <si>
    <t>사무비</t>
    <phoneticPr fontId="3" type="noConversion"/>
  </si>
  <si>
    <t>(%)</t>
    <phoneticPr fontId="3" type="noConversion"/>
  </si>
  <si>
    <t>계</t>
    <phoneticPr fontId="3" type="noConversion"/>
  </si>
  <si>
    <t>운영비보조금</t>
    <phoneticPr fontId="3" type="noConversion"/>
  </si>
  <si>
    <t>인건비</t>
    <phoneticPr fontId="3" type="noConversion"/>
  </si>
  <si>
    <t>종사자특별수당보조금</t>
    <phoneticPr fontId="3" type="noConversion"/>
  </si>
  <si>
    <t>급여</t>
    <phoneticPr fontId="3" type="noConversion"/>
  </si>
  <si>
    <t>일용잡급</t>
    <phoneticPr fontId="3" type="noConversion"/>
  </si>
  <si>
    <t>제수당</t>
    <phoneticPr fontId="3" type="noConversion"/>
  </si>
  <si>
    <t>퇴직금 및 퇴직적립금</t>
    <phoneticPr fontId="3" type="noConversion"/>
  </si>
  <si>
    <t>사회보험부담금</t>
    <phoneticPr fontId="3" type="noConversion"/>
  </si>
  <si>
    <t>업무추진비</t>
    <phoneticPr fontId="3" type="noConversion"/>
  </si>
  <si>
    <t>기관운영비</t>
    <phoneticPr fontId="3" type="noConversion"/>
  </si>
  <si>
    <t>직책보조비</t>
    <phoneticPr fontId="3" type="noConversion"/>
  </si>
  <si>
    <t>회의비</t>
    <phoneticPr fontId="3" type="noConversion"/>
  </si>
  <si>
    <t>운영비</t>
    <phoneticPr fontId="3" type="noConversion"/>
  </si>
  <si>
    <t>여비</t>
    <phoneticPr fontId="3" type="noConversion"/>
  </si>
  <si>
    <t>수용비및수수료</t>
    <phoneticPr fontId="3" type="noConversion"/>
  </si>
  <si>
    <t>공공요금</t>
    <phoneticPr fontId="3" type="noConversion"/>
  </si>
  <si>
    <t>제세공과금</t>
    <phoneticPr fontId="3" type="noConversion"/>
  </si>
  <si>
    <t>차량비</t>
    <phoneticPr fontId="3" type="noConversion"/>
  </si>
  <si>
    <t>기타운영비</t>
    <phoneticPr fontId="3" type="noConversion"/>
  </si>
  <si>
    <t>재산
조성비</t>
    <phoneticPr fontId="3" type="noConversion"/>
  </si>
  <si>
    <t>시설비</t>
    <phoneticPr fontId="3" type="noConversion"/>
  </si>
  <si>
    <t>후원금
수입</t>
    <phoneticPr fontId="3" type="noConversion"/>
  </si>
  <si>
    <t>비지정후원금</t>
    <phoneticPr fontId="3" type="noConversion"/>
  </si>
  <si>
    <t>자산취득비</t>
    <phoneticPr fontId="3" type="noConversion"/>
  </si>
  <si>
    <t>지정후원금</t>
    <phoneticPr fontId="3" type="noConversion"/>
  </si>
  <si>
    <t>시설장비유지비</t>
    <phoneticPr fontId="3" type="noConversion"/>
  </si>
  <si>
    <t>전입금</t>
    <phoneticPr fontId="3" type="noConversion"/>
  </si>
  <si>
    <t>평생교육지원사업비</t>
    <phoneticPr fontId="3" type="noConversion"/>
  </si>
  <si>
    <t>경로식당이용료수입</t>
    <phoneticPr fontId="3" type="noConversion"/>
  </si>
  <si>
    <t>목욕탕이용료수입</t>
    <phoneticPr fontId="3" type="noConversion"/>
  </si>
  <si>
    <t>기능회복지원사업비</t>
    <phoneticPr fontId="3" type="noConversion"/>
  </si>
  <si>
    <t>급식지원사업비</t>
    <phoneticPr fontId="3" type="noConversion"/>
  </si>
  <si>
    <t>개인위생관리사업비</t>
    <phoneticPr fontId="3" type="noConversion"/>
  </si>
  <si>
    <t>이월금</t>
    <phoneticPr fontId="3" type="noConversion"/>
  </si>
  <si>
    <t>정서생활지원사업비</t>
    <phoneticPr fontId="3" type="noConversion"/>
  </si>
  <si>
    <t>전년도이월금</t>
    <phoneticPr fontId="3" type="noConversion"/>
  </si>
  <si>
    <t>사회참여지원사업비</t>
    <phoneticPr fontId="3" type="noConversion"/>
  </si>
  <si>
    <t>전년도이월금(후원금)</t>
    <phoneticPr fontId="3" type="noConversion"/>
  </si>
  <si>
    <t>잡수입</t>
    <phoneticPr fontId="3" type="noConversion"/>
  </si>
  <si>
    <t>지역자원개발사업비</t>
    <phoneticPr fontId="3" type="noConversion"/>
  </si>
  <si>
    <t>기타예금이자수입</t>
    <phoneticPr fontId="3" type="noConversion"/>
  </si>
  <si>
    <t>지역복지연계사업비</t>
    <phoneticPr fontId="3" type="noConversion"/>
  </si>
  <si>
    <t>운영관리사업비</t>
    <phoneticPr fontId="3" type="noConversion"/>
  </si>
  <si>
    <t>홍보사업비</t>
    <phoneticPr fontId="3" type="noConversion"/>
  </si>
  <si>
    <t>연구개발사업비</t>
    <phoneticPr fontId="3" type="noConversion"/>
  </si>
  <si>
    <t>예비비및
반환금</t>
    <phoneticPr fontId="3" type="noConversion"/>
  </si>
  <si>
    <t>예비비
및반환금</t>
    <phoneticPr fontId="3" type="noConversion"/>
  </si>
  <si>
    <t>예비비</t>
    <phoneticPr fontId="3" type="noConversion"/>
  </si>
  <si>
    <t>반환금</t>
    <phoneticPr fontId="3" type="noConversion"/>
  </si>
  <si>
    <t>(세입)</t>
    <phoneticPr fontId="3" type="noConversion"/>
  </si>
  <si>
    <t>(단위 : 천원)</t>
    <phoneticPr fontId="3" type="noConversion"/>
  </si>
  <si>
    <t>2016년도</t>
    <phoneticPr fontId="3" type="noConversion"/>
  </si>
  <si>
    <t>2017년도</t>
    <phoneticPr fontId="3" type="noConversion"/>
  </si>
  <si>
    <t>2016년</t>
    <phoneticPr fontId="3" type="noConversion"/>
  </si>
  <si>
    <t>2017년</t>
    <phoneticPr fontId="3" type="noConversion"/>
  </si>
  <si>
    <t>2018년</t>
    <phoneticPr fontId="3" type="noConversion"/>
  </si>
  <si>
    <t>2019년</t>
    <phoneticPr fontId="3" type="noConversion"/>
  </si>
  <si>
    <t>2020년</t>
    <phoneticPr fontId="3" type="noConversion"/>
  </si>
  <si>
    <t>총  계</t>
    <phoneticPr fontId="3" type="noConversion"/>
  </si>
  <si>
    <t>시군구보조금 소계</t>
    <phoneticPr fontId="3" type="noConversion"/>
  </si>
  <si>
    <t>전년도후원금이월금</t>
    <phoneticPr fontId="3" type="noConversion"/>
  </si>
  <si>
    <t xml:space="preserve">   (단위:천원)</t>
    <phoneticPr fontId="3" type="noConversion"/>
  </si>
  <si>
    <t xml:space="preserve"> 산 출 내 역</t>
    <phoneticPr fontId="3" type="noConversion"/>
  </si>
  <si>
    <t>직</t>
    <phoneticPr fontId="3" type="noConversion"/>
  </si>
  <si>
    <t>호봉</t>
    <phoneticPr fontId="3" type="noConversion"/>
  </si>
  <si>
    <t>관장</t>
    <phoneticPr fontId="3" type="noConversion"/>
  </si>
  <si>
    <t>과장</t>
    <phoneticPr fontId="3" type="noConversion"/>
  </si>
  <si>
    <t>선임사회복지사</t>
    <phoneticPr fontId="3" type="noConversion"/>
  </si>
  <si>
    <t>사회복지사</t>
    <phoneticPr fontId="3" type="noConversion"/>
  </si>
  <si>
    <t>영양사</t>
    <phoneticPr fontId="3" type="noConversion"/>
  </si>
  <si>
    <t>운전기사</t>
    <phoneticPr fontId="3" type="noConversion"/>
  </si>
  <si>
    <t>조리사</t>
    <phoneticPr fontId="3" type="noConversion"/>
  </si>
  <si>
    <t>조리보조원</t>
    <phoneticPr fontId="3" type="noConversion"/>
  </si>
  <si>
    <t>시급제</t>
    <phoneticPr fontId="3" type="noConversion"/>
  </si>
  <si>
    <t>10,000원×4시간×25일×12개월</t>
    <phoneticPr fontId="3" type="noConversion"/>
  </si>
  <si>
    <t>차량운전일용직</t>
    <phoneticPr fontId="3" type="noConversion"/>
  </si>
  <si>
    <t>100,000원×12회</t>
    <phoneticPr fontId="3" type="noConversion"/>
  </si>
  <si>
    <t>효도휴가비</t>
    <phoneticPr fontId="3" type="noConversion"/>
  </si>
  <si>
    <t>전담관리자</t>
    <phoneticPr fontId="3" type="noConversion"/>
  </si>
  <si>
    <t>운동처방사</t>
    <phoneticPr fontId="3" type="noConversion"/>
  </si>
  <si>
    <t>응급안전알리미</t>
    <phoneticPr fontId="3" type="noConversion"/>
  </si>
  <si>
    <t>시간제조리보조원</t>
    <phoneticPr fontId="3" type="noConversion"/>
  </si>
  <si>
    <t>300,000원×1명×2회</t>
    <phoneticPr fontId="3" type="noConversion"/>
  </si>
  <si>
    <t>종사자특별수당</t>
    <phoneticPr fontId="3" type="noConversion"/>
  </si>
  <si>
    <t>기타수당</t>
    <phoneticPr fontId="3" type="noConversion"/>
  </si>
  <si>
    <t>1명×100,000원×12월</t>
    <phoneticPr fontId="3" type="noConversion"/>
  </si>
  <si>
    <t>위험수당</t>
    <phoneticPr fontId="3" type="noConversion"/>
  </si>
  <si>
    <t>시설관리</t>
    <phoneticPr fontId="3" type="noConversion"/>
  </si>
  <si>
    <t>200,000원×12개월</t>
    <phoneticPr fontId="3" type="noConversion"/>
  </si>
  <si>
    <t>가족수당</t>
    <phoneticPr fontId="3" type="noConversion"/>
  </si>
  <si>
    <t>직원</t>
    <phoneticPr fontId="3" type="noConversion"/>
  </si>
  <si>
    <t>퇴직금 및 
퇴직적립금</t>
    <phoneticPr fontId="3" type="noConversion"/>
  </si>
  <si>
    <t>퇴직연금</t>
    <phoneticPr fontId="3" type="noConversion"/>
  </si>
  <si>
    <t>10,000원×4시간×25일×1개월</t>
    <phoneticPr fontId="3" type="noConversion"/>
  </si>
  <si>
    <t>사회보험
부담금</t>
    <phoneticPr fontId="3" type="noConversion"/>
  </si>
  <si>
    <t>건강보험</t>
    <phoneticPr fontId="3" type="noConversion"/>
  </si>
  <si>
    <t>장기요양보험료</t>
    <phoneticPr fontId="3" type="noConversion"/>
  </si>
  <si>
    <t>국민연금</t>
    <phoneticPr fontId="3" type="noConversion"/>
  </si>
  <si>
    <t>고용보험</t>
    <phoneticPr fontId="3" type="noConversion"/>
  </si>
  <si>
    <t>산재보험</t>
    <phoneticPr fontId="3" type="noConversion"/>
  </si>
  <si>
    <t>국장</t>
    <phoneticPr fontId="3" type="noConversion"/>
  </si>
  <si>
    <t>150,000원×12개월</t>
    <phoneticPr fontId="3" type="noConversion"/>
  </si>
  <si>
    <t>팀장</t>
    <phoneticPr fontId="3" type="noConversion"/>
  </si>
  <si>
    <t>시설관리위원회</t>
    <phoneticPr fontId="3" type="noConversion"/>
  </si>
  <si>
    <t>50,000원×4회</t>
    <phoneticPr fontId="3" type="noConversion"/>
  </si>
  <si>
    <t>운영위원회운영</t>
    <phoneticPr fontId="3" type="noConversion"/>
  </si>
  <si>
    <t>기자단회의</t>
    <phoneticPr fontId="3" type="noConversion"/>
  </si>
  <si>
    <t>분기별회의비</t>
    <phoneticPr fontId="3" type="noConversion"/>
  </si>
  <si>
    <t>발간평가회</t>
    <phoneticPr fontId="3" type="noConversion"/>
  </si>
  <si>
    <t>120,000원×4회</t>
    <phoneticPr fontId="3" type="noConversion"/>
  </si>
  <si>
    <t>급식위원회</t>
  </si>
  <si>
    <t>출장,교육,세미나 여비</t>
    <phoneticPr fontId="3" type="noConversion"/>
  </si>
  <si>
    <t>200,000원x12개월</t>
    <phoneticPr fontId="3" type="noConversion"/>
  </si>
  <si>
    <t>수용비
및 수수료</t>
    <phoneticPr fontId="3" type="noConversion"/>
  </si>
  <si>
    <t xml:space="preserve"> 사무용품비</t>
    <phoneticPr fontId="3" type="noConversion"/>
  </si>
  <si>
    <t>300,000원x12개월</t>
    <phoneticPr fontId="3" type="noConversion"/>
  </si>
  <si>
    <t>사무기기임대료</t>
    <phoneticPr fontId="3" type="noConversion"/>
  </si>
  <si>
    <t>132,000원×12개월</t>
    <phoneticPr fontId="3" type="noConversion"/>
  </si>
  <si>
    <t>신문구독료</t>
    <phoneticPr fontId="3" type="noConversion"/>
  </si>
  <si>
    <t>15,000원x12개월×4종</t>
    <phoneticPr fontId="3" type="noConversion"/>
  </si>
  <si>
    <t>자판기재료비</t>
    <phoneticPr fontId="3" type="noConversion"/>
  </si>
  <si>
    <t>300,000원×12개월</t>
    <phoneticPr fontId="3" type="noConversion"/>
  </si>
  <si>
    <t>정수기렌탈비</t>
    <phoneticPr fontId="3" type="noConversion"/>
  </si>
  <si>
    <t>40,000원×3대×12개월</t>
    <phoneticPr fontId="3" type="noConversion"/>
  </si>
  <si>
    <t>정수기관리비</t>
    <phoneticPr fontId="3" type="noConversion"/>
  </si>
  <si>
    <t>목욕탕</t>
    <phoneticPr fontId="3" type="noConversion"/>
  </si>
  <si>
    <t>83,000원×4회</t>
    <phoneticPr fontId="3" type="noConversion"/>
  </si>
  <si>
    <t>대청소</t>
    <phoneticPr fontId="3" type="noConversion"/>
  </si>
  <si>
    <t>방역용품비</t>
    <phoneticPr fontId="3" type="noConversion"/>
  </si>
  <si>
    <t>퇴직연금관리수수료</t>
    <phoneticPr fontId="3" type="noConversion"/>
  </si>
  <si>
    <t>소모품비</t>
    <phoneticPr fontId="3" type="noConversion"/>
  </si>
  <si>
    <t>800,000원x12개월</t>
    <phoneticPr fontId="3" type="noConversion"/>
  </si>
  <si>
    <t>보안경비료</t>
    <phoneticPr fontId="3" type="noConversion"/>
  </si>
  <si>
    <t>149,000원×12개월</t>
    <phoneticPr fontId="3" type="noConversion"/>
  </si>
  <si>
    <t>전기안전점검용역비</t>
    <phoneticPr fontId="3" type="noConversion"/>
  </si>
  <si>
    <t>220,000원x12개월</t>
    <phoneticPr fontId="3" type="noConversion"/>
  </si>
  <si>
    <t>승강기유지관리비</t>
    <phoneticPr fontId="3" type="noConversion"/>
  </si>
  <si>
    <t>88,000원x12개월</t>
    <phoneticPr fontId="3" type="noConversion"/>
  </si>
  <si>
    <t>CMS 사용료</t>
    <phoneticPr fontId="3" type="noConversion"/>
  </si>
  <si>
    <t>44,000원x12개월</t>
    <phoneticPr fontId="3" type="noConversion"/>
  </si>
  <si>
    <t>CMS 수수료</t>
    <phoneticPr fontId="3" type="noConversion"/>
  </si>
  <si>
    <t>120,000원x12개월</t>
    <phoneticPr fontId="3" type="noConversion"/>
  </si>
  <si>
    <t>전화요금</t>
    <phoneticPr fontId="3" type="noConversion"/>
  </si>
  <si>
    <t>전기요금</t>
    <phoneticPr fontId="3" type="noConversion"/>
  </si>
  <si>
    <t>3,000,000원×12개월</t>
    <phoneticPr fontId="3" type="noConversion"/>
  </si>
  <si>
    <t>케이블요금</t>
    <phoneticPr fontId="3" type="noConversion"/>
  </si>
  <si>
    <t>7,700원x2대×12개월</t>
    <phoneticPr fontId="3" type="noConversion"/>
  </si>
  <si>
    <t>상하수도료 및 오물수거료</t>
    <phoneticPr fontId="3" type="noConversion"/>
  </si>
  <si>
    <t>소식지발송비</t>
    <phoneticPr fontId="3" type="noConversion"/>
  </si>
  <si>
    <t>발송비 400,000원×4회</t>
    <phoneticPr fontId="3" type="noConversion"/>
  </si>
  <si>
    <t>후원자 영수증발급</t>
    <phoneticPr fontId="3" type="noConversion"/>
  </si>
  <si>
    <t>대인/대물 화재보험료외</t>
    <phoneticPr fontId="3" type="noConversion"/>
  </si>
  <si>
    <t>3,000,000원x1회</t>
    <phoneticPr fontId="3" type="noConversion"/>
  </si>
  <si>
    <t>자동차보험</t>
    <phoneticPr fontId="3" type="noConversion"/>
  </si>
  <si>
    <t>버스</t>
    <phoneticPr fontId="3" type="noConversion"/>
  </si>
  <si>
    <t>12인승</t>
    <phoneticPr fontId="3" type="noConversion"/>
  </si>
  <si>
    <t>스파크</t>
    <phoneticPr fontId="3" type="noConversion"/>
  </si>
  <si>
    <t>800,000원x1회</t>
    <phoneticPr fontId="3" type="noConversion"/>
  </si>
  <si>
    <t>모닝</t>
    <phoneticPr fontId="3" type="noConversion"/>
  </si>
  <si>
    <t>화물차량</t>
    <phoneticPr fontId="3" type="noConversion"/>
  </si>
  <si>
    <t>자동차세</t>
    <phoneticPr fontId="3" type="noConversion"/>
  </si>
  <si>
    <t>500,000원x1회</t>
    <phoneticPr fontId="3" type="noConversion"/>
  </si>
  <si>
    <t>환경개선부담금</t>
    <phoneticPr fontId="3" type="noConversion"/>
  </si>
  <si>
    <t>120,000원x2회</t>
    <phoneticPr fontId="3" type="noConversion"/>
  </si>
  <si>
    <t>협회비</t>
    <phoneticPr fontId="3" type="noConversion"/>
  </si>
  <si>
    <t>지부협회비</t>
    <phoneticPr fontId="3" type="noConversion"/>
  </si>
  <si>
    <t>100,000원x12개월</t>
    <phoneticPr fontId="3" type="noConversion"/>
  </si>
  <si>
    <t>성공회협회비납부</t>
    <phoneticPr fontId="3" type="noConversion"/>
  </si>
  <si>
    <t>정읍사회복지협회비</t>
    <phoneticPr fontId="3" type="noConversion"/>
  </si>
  <si>
    <t>150,000원x1회</t>
    <phoneticPr fontId="3" type="noConversion"/>
  </si>
  <si>
    <t>정읍시사회복지협회임원회비</t>
    <phoneticPr fontId="3" type="noConversion"/>
  </si>
  <si>
    <t>주민세</t>
    <phoneticPr fontId="3" type="noConversion"/>
  </si>
  <si>
    <t>55,000원x1회</t>
    <phoneticPr fontId="3" type="noConversion"/>
  </si>
  <si>
    <t>소방회비</t>
    <phoneticPr fontId="3" type="noConversion"/>
  </si>
  <si>
    <t>48,000원x1회</t>
    <phoneticPr fontId="3" type="noConversion"/>
  </si>
  <si>
    <t>상해보험</t>
    <phoneticPr fontId="3" type="noConversion"/>
  </si>
  <si>
    <t>10,000원×16명</t>
    <phoneticPr fontId="3" type="noConversion"/>
  </si>
  <si>
    <t>사회복무요원상해보험</t>
    <phoneticPr fontId="3" type="noConversion"/>
  </si>
  <si>
    <t>자동판매기등록면허세</t>
    <phoneticPr fontId="3" type="noConversion"/>
  </si>
  <si>
    <t>10,000원×1식</t>
    <phoneticPr fontId="3" type="noConversion"/>
  </si>
  <si>
    <t>단체급식소면허세</t>
    <phoneticPr fontId="3" type="noConversion"/>
  </si>
  <si>
    <t>20,000원×1식</t>
    <phoneticPr fontId="3" type="noConversion"/>
  </si>
  <si>
    <t>재정보증보험료</t>
    <phoneticPr fontId="3" type="noConversion"/>
  </si>
  <si>
    <t>유류대</t>
    <phoneticPr fontId="3" type="noConversion"/>
  </si>
  <si>
    <t>셔틀버스</t>
    <phoneticPr fontId="3" type="noConversion"/>
  </si>
  <si>
    <t>스타렉스</t>
    <phoneticPr fontId="3" type="noConversion"/>
  </si>
  <si>
    <t>200,000원*12개월</t>
    <phoneticPr fontId="3" type="noConversion"/>
  </si>
  <si>
    <t>봉고</t>
    <phoneticPr fontId="3" type="noConversion"/>
  </si>
  <si>
    <t>차량정비유지비 및 검사비</t>
    <phoneticPr fontId="3" type="noConversion"/>
  </si>
  <si>
    <t>500,000원x12개월</t>
    <phoneticPr fontId="3" type="noConversion"/>
  </si>
  <si>
    <t>시설장비
유지비</t>
    <phoneticPr fontId="3" type="noConversion"/>
  </si>
  <si>
    <t>승강기정기검사</t>
    <phoneticPr fontId="3" type="noConversion"/>
  </si>
  <si>
    <t>130,000원×1회</t>
    <phoneticPr fontId="3" type="noConversion"/>
  </si>
  <si>
    <t>노래방업데이트</t>
    <phoneticPr fontId="3" type="noConversion"/>
  </si>
  <si>
    <t>시설수리비</t>
    <phoneticPr fontId="3" type="noConversion"/>
  </si>
  <si>
    <t>비품, 시설물 보수</t>
    <phoneticPr fontId="3" type="noConversion"/>
  </si>
  <si>
    <t>복지관정기소독</t>
    <phoneticPr fontId="3" type="noConversion"/>
  </si>
  <si>
    <t>90,000원×6회</t>
    <phoneticPr fontId="3" type="noConversion"/>
  </si>
  <si>
    <t>물탱크 청소</t>
  </si>
  <si>
    <t>260,000원x2회</t>
    <phoneticPr fontId="3" type="noConversion"/>
  </si>
  <si>
    <t>강사역량강화</t>
    <phoneticPr fontId="3" type="noConversion"/>
  </si>
  <si>
    <t>교육비</t>
    <phoneticPr fontId="3" type="noConversion"/>
  </si>
  <si>
    <t>강사간담회</t>
  </si>
  <si>
    <t>교육비</t>
  </si>
  <si>
    <t>150,000원×2회</t>
  </si>
  <si>
    <t>오리엔테이션</t>
    <phoneticPr fontId="3" type="noConversion"/>
  </si>
  <si>
    <t>200,000원×1회</t>
    <phoneticPr fontId="3" type="noConversion"/>
  </si>
  <si>
    <t>강사모집및관리</t>
    <phoneticPr fontId="3" type="noConversion"/>
  </si>
  <si>
    <t>우수강사표창</t>
    <phoneticPr fontId="3" type="noConversion"/>
  </si>
  <si>
    <t>상품,상패 100,000원×2명</t>
    <phoneticPr fontId="3" type="noConversion"/>
  </si>
  <si>
    <t>학사관리</t>
    <phoneticPr fontId="3" type="noConversion"/>
  </si>
  <si>
    <t>모범수강생표창</t>
    <phoneticPr fontId="3" type="noConversion"/>
  </si>
  <si>
    <t>반장간담회</t>
    <phoneticPr fontId="3" type="noConversion"/>
  </si>
  <si>
    <t>동아리운영</t>
    <phoneticPr fontId="3" type="noConversion"/>
  </si>
  <si>
    <t>우승자상품</t>
    <phoneticPr fontId="3" type="noConversion"/>
  </si>
  <si>
    <t>300,000원×1식</t>
    <phoneticPr fontId="3" type="noConversion"/>
  </si>
  <si>
    <t>취미여가사업</t>
    <phoneticPr fontId="3" type="noConversion"/>
  </si>
  <si>
    <t>커플댄스</t>
    <phoneticPr fontId="3" type="noConversion"/>
  </si>
  <si>
    <t>요가</t>
    <phoneticPr fontId="3" type="noConversion"/>
  </si>
  <si>
    <t>태극권</t>
    <phoneticPr fontId="3" type="noConversion"/>
  </si>
  <si>
    <t>난타교실</t>
    <phoneticPr fontId="3" type="noConversion"/>
  </si>
  <si>
    <t>풍물교실</t>
    <phoneticPr fontId="3" type="noConversion"/>
  </si>
  <si>
    <t>탁구교실</t>
    <phoneticPr fontId="3" type="noConversion"/>
  </si>
  <si>
    <t>서예교실</t>
    <phoneticPr fontId="3" type="noConversion"/>
  </si>
  <si>
    <t>민요교실</t>
    <phoneticPr fontId="3" type="noConversion"/>
  </si>
  <si>
    <t>노래교실</t>
    <phoneticPr fontId="3" type="noConversion"/>
  </si>
  <si>
    <t>색소폰교실</t>
    <phoneticPr fontId="3" type="noConversion"/>
  </si>
  <si>
    <t>오카리나</t>
    <phoneticPr fontId="3" type="noConversion"/>
  </si>
  <si>
    <t>한국무용</t>
    <phoneticPr fontId="3" type="noConversion"/>
  </si>
  <si>
    <t>사군자교실</t>
    <phoneticPr fontId="3" type="noConversion"/>
  </si>
  <si>
    <t>우크렐라</t>
    <phoneticPr fontId="3" type="noConversion"/>
  </si>
  <si>
    <t>기능회복
지원사업비</t>
    <phoneticPr fontId="3" type="noConversion"/>
  </si>
  <si>
    <t>기능운동</t>
    <phoneticPr fontId="3" type="noConversion"/>
  </si>
  <si>
    <t>건강체조동영상</t>
    <phoneticPr fontId="3" type="noConversion"/>
  </si>
  <si>
    <t>급식지원
사업비</t>
    <phoneticPr fontId="3" type="noConversion"/>
  </si>
  <si>
    <t>경로식당</t>
    <phoneticPr fontId="3" type="noConversion"/>
  </si>
  <si>
    <t>식당운영</t>
    <phoneticPr fontId="3" type="noConversion"/>
  </si>
  <si>
    <t>가스요금  500,000원x12개월</t>
    <phoneticPr fontId="3" type="noConversion"/>
  </si>
  <si>
    <t>어버이날</t>
    <phoneticPr fontId="3" type="noConversion"/>
  </si>
  <si>
    <t>점심 2,500,000원×1식</t>
    <phoneticPr fontId="3" type="noConversion"/>
  </si>
  <si>
    <t>운영비 250,000원×12개월</t>
    <phoneticPr fontId="3" type="noConversion"/>
  </si>
  <si>
    <t>수리비 1,000,000원×1회</t>
    <phoneticPr fontId="3" type="noConversion"/>
  </si>
  <si>
    <t>김장비  4,000,000원x1회</t>
    <phoneticPr fontId="3" type="noConversion"/>
  </si>
  <si>
    <t>종사자보수교육</t>
    <phoneticPr fontId="3" type="noConversion"/>
  </si>
  <si>
    <t>영양사 50,000원×1회</t>
    <phoneticPr fontId="3" type="noConversion"/>
  </si>
  <si>
    <t>조리사 50,000원×1회</t>
    <phoneticPr fontId="3" type="noConversion"/>
  </si>
  <si>
    <t>된장담그기</t>
  </si>
  <si>
    <t>500,000원x1회</t>
  </si>
  <si>
    <t>1,000,000원x1회</t>
    <phoneticPr fontId="3" type="noConversion"/>
  </si>
  <si>
    <t>외부전문교육</t>
    <phoneticPr fontId="3" type="noConversion"/>
  </si>
  <si>
    <t>100,000원×2회</t>
    <phoneticPr fontId="3" type="noConversion"/>
  </si>
  <si>
    <t>300,000원×1회</t>
    <phoneticPr fontId="3" type="noConversion"/>
  </si>
  <si>
    <t>치매예방</t>
    <phoneticPr fontId="3" type="noConversion"/>
  </si>
  <si>
    <t>진행비</t>
    <phoneticPr fontId="3" type="noConversion"/>
  </si>
  <si>
    <t>반려식물나눔</t>
    <phoneticPr fontId="3" type="noConversion"/>
  </si>
  <si>
    <t>재료비</t>
    <phoneticPr fontId="3" type="noConversion"/>
  </si>
  <si>
    <t>1,000,000원×1회</t>
    <phoneticPr fontId="3" type="noConversion"/>
  </si>
  <si>
    <t>자원봉사</t>
    <phoneticPr fontId="3" type="noConversion"/>
  </si>
  <si>
    <t>우수자원
봉사자시상</t>
    <phoneticPr fontId="3" type="noConversion"/>
  </si>
  <si>
    <t>상패   100,000원x1명</t>
    <phoneticPr fontId="3" type="noConversion"/>
  </si>
  <si>
    <t>소양교육</t>
    <phoneticPr fontId="3" type="noConversion"/>
  </si>
  <si>
    <t>후원</t>
    <phoneticPr fontId="3" type="noConversion"/>
  </si>
  <si>
    <t>노인사랑기업</t>
    <phoneticPr fontId="3" type="noConversion"/>
  </si>
  <si>
    <t>현판제작비 50,000원x2개</t>
    <phoneticPr fontId="3" type="noConversion"/>
  </si>
  <si>
    <t>기념품,광고비</t>
    <phoneticPr fontId="3" type="noConversion"/>
  </si>
  <si>
    <t>관리비 500,000원×1식</t>
    <phoneticPr fontId="3" type="noConversion"/>
  </si>
  <si>
    <t>송년감사의밤</t>
    <phoneticPr fontId="3" type="noConversion"/>
  </si>
  <si>
    <t>행사비 2,000,000원×1식</t>
    <phoneticPr fontId="3" type="noConversion"/>
  </si>
  <si>
    <t>트로피100,000원×3명</t>
    <phoneticPr fontId="3" type="noConversion"/>
  </si>
  <si>
    <t>꽃다발30,000원×9명</t>
    <phoneticPr fontId="3" type="noConversion"/>
  </si>
  <si>
    <t>기획사업</t>
    <phoneticPr fontId="3" type="noConversion"/>
  </si>
  <si>
    <t>축제전시회</t>
    <phoneticPr fontId="3" type="noConversion"/>
  </si>
  <si>
    <t>20,000,000원×1회</t>
    <phoneticPr fontId="3" type="noConversion"/>
  </si>
  <si>
    <t>이동복지관</t>
    <phoneticPr fontId="3" type="noConversion"/>
  </si>
  <si>
    <t>운영관리
사업비</t>
    <phoneticPr fontId="3" type="noConversion"/>
  </si>
  <si>
    <t>인사관리</t>
    <phoneticPr fontId="3" type="noConversion"/>
  </si>
  <si>
    <t>직원교육</t>
    <phoneticPr fontId="3" type="noConversion"/>
  </si>
  <si>
    <t>외부교육 50,000원×12개월</t>
    <phoneticPr fontId="3" type="noConversion"/>
  </si>
  <si>
    <t>내부교육 200,000원×6회</t>
    <phoneticPr fontId="3" type="noConversion"/>
  </si>
  <si>
    <t>성공회연합워크샵</t>
    <phoneticPr fontId="3" type="noConversion"/>
  </si>
  <si>
    <t>내부워크샵</t>
    <phoneticPr fontId="3" type="noConversion"/>
  </si>
  <si>
    <t>1,500,000원×2회</t>
    <phoneticPr fontId="3" type="noConversion"/>
  </si>
  <si>
    <t>송년감사의날</t>
    <phoneticPr fontId="3" type="noConversion"/>
  </si>
  <si>
    <t>우수직원 표창100,000원×1명</t>
    <phoneticPr fontId="3" type="noConversion"/>
  </si>
  <si>
    <t>홍보
사업비</t>
    <phoneticPr fontId="3" type="noConversion"/>
  </si>
  <si>
    <t>홍보사업</t>
    <phoneticPr fontId="3" type="noConversion"/>
  </si>
  <si>
    <t>소식지발간</t>
    <phoneticPr fontId="3" type="noConversion"/>
  </si>
  <si>
    <t>발간비1,100,000원×4회</t>
    <phoneticPr fontId="3" type="noConversion"/>
  </si>
  <si>
    <t>기자단교육</t>
    <phoneticPr fontId="3" type="noConversion"/>
  </si>
  <si>
    <t>100,000원×1회</t>
    <phoneticPr fontId="3" type="noConversion"/>
  </si>
  <si>
    <t>기자단연수</t>
    <phoneticPr fontId="3" type="noConversion"/>
  </si>
  <si>
    <t>600,000원×1회</t>
    <phoneticPr fontId="3" type="noConversion"/>
  </si>
  <si>
    <t>복지관사업안내용</t>
    <phoneticPr fontId="3" type="noConversion"/>
  </si>
  <si>
    <t>현수막 50,000원×20회</t>
    <phoneticPr fontId="3" type="noConversion"/>
  </si>
  <si>
    <t>홈페이지개설운영</t>
    <phoneticPr fontId="3" type="noConversion"/>
  </si>
  <si>
    <t>유지보수 440,000원×1회</t>
    <phoneticPr fontId="3" type="noConversion"/>
  </si>
  <si>
    <t>실습평가</t>
  </si>
  <si>
    <t>평가회</t>
  </si>
  <si>
    <t>예비비 및 기타</t>
    <phoneticPr fontId="3" type="noConversion"/>
  </si>
  <si>
    <t>(단위:천원)</t>
    <phoneticPr fontId="3" type="noConversion"/>
  </si>
  <si>
    <t>2020년
3차</t>
    <phoneticPr fontId="3" type="noConversion"/>
  </si>
  <si>
    <t>일시금 500,000원×12월</t>
    <phoneticPr fontId="3" type="noConversion"/>
  </si>
  <si>
    <t>10월행사 일시금 35,000,000원×1회</t>
    <phoneticPr fontId="3" type="noConversion"/>
  </si>
  <si>
    <t>법인전입금수입 25,000,000원</t>
    <phoneticPr fontId="3" type="noConversion"/>
  </si>
  <si>
    <t>간담회</t>
  </si>
  <si>
    <t>50,000원×4회</t>
  </si>
  <si>
    <t>자원봉사지지</t>
  </si>
  <si>
    <t>2021년1차</t>
    <phoneticPr fontId="3" type="noConversion"/>
  </si>
  <si>
    <t>500,000원×2회</t>
    <phoneticPr fontId="3" type="noConversion"/>
  </si>
  <si>
    <t>전기설비정기검사</t>
    <phoneticPr fontId="2" type="noConversion"/>
  </si>
  <si>
    <t>700,000원×1식</t>
    <phoneticPr fontId="2" type="noConversion"/>
  </si>
  <si>
    <t>전년도이월금(운영비수익금)</t>
    <phoneticPr fontId="3" type="noConversion"/>
  </si>
  <si>
    <t>예금이자 수입</t>
    <phoneticPr fontId="2" type="noConversion"/>
  </si>
  <si>
    <t>사회복지사</t>
    <phoneticPr fontId="2" type="noConversion"/>
  </si>
  <si>
    <t>자치위원회</t>
    <phoneticPr fontId="2" type="noConversion"/>
  </si>
  <si>
    <t>50,000원×4회</t>
    <phoneticPr fontId="2" type="noConversion"/>
  </si>
  <si>
    <t>복지관운영 경상보조금수입 546,575,000원×5%</t>
    <phoneticPr fontId="3" type="noConversion"/>
  </si>
  <si>
    <t>경로식당   2,500원×65명×237일</t>
    <phoneticPr fontId="2" type="noConversion"/>
  </si>
  <si>
    <t>(1명×120,000원×12월)+(1명×120,000원×4월)</t>
    <phoneticPr fontId="3" type="noConversion"/>
  </si>
  <si>
    <t>6명×150,000원 ×12월</t>
    <phoneticPr fontId="3" type="noConversion"/>
  </si>
  <si>
    <t xml:space="preserve">                                      </t>
    <phoneticPr fontId="2" type="noConversion"/>
  </si>
  <si>
    <t>(1명×120,000원×12월)+(1명×120,000원×4월)</t>
  </si>
  <si>
    <t>680,000원×12개월</t>
    <phoneticPr fontId="3" type="noConversion"/>
  </si>
  <si>
    <t>(100,000원×2명×12개월)+(100,000원×1명×4개월)</t>
    <phoneticPr fontId="3" type="noConversion"/>
  </si>
  <si>
    <t>30,000원×5명</t>
    <phoneticPr fontId="3" type="noConversion"/>
  </si>
  <si>
    <t>4,774,460원×12개월</t>
    <phoneticPr fontId="3" type="noConversion"/>
  </si>
  <si>
    <t>3,965,910원×11개월</t>
    <phoneticPr fontId="3" type="noConversion"/>
  </si>
  <si>
    <t>4,019,780원×1개월</t>
    <phoneticPr fontId="3" type="noConversion"/>
  </si>
  <si>
    <t>3,721,700원×12개월</t>
    <phoneticPr fontId="3" type="noConversion"/>
  </si>
  <si>
    <t>2,852,480원×4개월</t>
    <phoneticPr fontId="3" type="noConversion"/>
  </si>
  <si>
    <t>2,431,520원×3개월</t>
    <phoneticPr fontId="3" type="noConversion"/>
  </si>
  <si>
    <t>2,528,650원×5개월</t>
    <phoneticPr fontId="3" type="noConversion"/>
  </si>
  <si>
    <t>2,777,400원×9개월</t>
    <phoneticPr fontId="2" type="noConversion"/>
  </si>
  <si>
    <t>2,845,580원×3개월</t>
    <phoneticPr fontId="2" type="noConversion"/>
  </si>
  <si>
    <t>2,372,400원×8개월</t>
    <phoneticPr fontId="3" type="noConversion"/>
  </si>
  <si>
    <t>2,432,550원×4개월</t>
    <phoneticPr fontId="3" type="noConversion"/>
  </si>
  <si>
    <t>2,549,660원×3개월</t>
    <phoneticPr fontId="3" type="noConversion"/>
  </si>
  <si>
    <t>2,633,400원×9개월</t>
    <phoneticPr fontId="3" type="noConversion"/>
  </si>
  <si>
    <t>2,541,830원×4개월</t>
    <phoneticPr fontId="3" type="noConversion"/>
  </si>
  <si>
    <t>2,620,930원×2개월</t>
    <phoneticPr fontId="3" type="noConversion"/>
  </si>
  <si>
    <t>200,000원x8개월</t>
    <phoneticPr fontId="3" type="noConversion"/>
  </si>
  <si>
    <t>3,000,000원×1식</t>
    <phoneticPr fontId="3" type="noConversion"/>
  </si>
  <si>
    <t>2,372,400원×6개월</t>
    <phoneticPr fontId="2" type="noConversion"/>
  </si>
  <si>
    <t>15,200,000원×2회</t>
    <phoneticPr fontId="3" type="noConversion"/>
  </si>
  <si>
    <t>2,387,670원×12개월</t>
    <phoneticPr fontId="3" type="noConversion"/>
  </si>
  <si>
    <t>982,830원×12개월</t>
    <phoneticPr fontId="3" type="noConversion"/>
  </si>
  <si>
    <t>113,580원×12개월</t>
    <phoneticPr fontId="3" type="noConversion"/>
  </si>
  <si>
    <t>1,289,420원×12개월</t>
    <phoneticPr fontId="3" type="noConversion"/>
  </si>
  <si>
    <t>336,830원×12개월</t>
    <phoneticPr fontId="3" type="noConversion"/>
  </si>
  <si>
    <t>183,420원×12개월</t>
    <phoneticPr fontId="3" type="noConversion"/>
  </si>
  <si>
    <t>(200,000원×4개월)+(600,000원×8개월)</t>
    <phoneticPr fontId="3" type="noConversion"/>
  </si>
  <si>
    <t>재위탁 및 평가준비비</t>
    <phoneticPr fontId="2" type="noConversion"/>
  </si>
  <si>
    <t>400,000원x12개월</t>
    <phoneticPr fontId="3" type="noConversion"/>
  </si>
  <si>
    <t>CMS  3,100,000원×12월</t>
    <phoneticPr fontId="3" type="noConversion"/>
  </si>
  <si>
    <t>772,000원×1식</t>
    <phoneticPr fontId="3" type="noConversion"/>
  </si>
  <si>
    <t>어버이날행사 일시금 1,000,000원×1회</t>
    <phoneticPr fontId="3" type="noConversion"/>
  </si>
  <si>
    <t>사회복무요원  50,000원×12개월×5명</t>
    <phoneticPr fontId="2" type="noConversion"/>
  </si>
  <si>
    <t>증감(B)-(A)</t>
    <phoneticPr fontId="3" type="noConversion"/>
  </si>
  <si>
    <t>금액</t>
    <phoneticPr fontId="2" type="noConversion"/>
  </si>
  <si>
    <t>비율(%)</t>
    <phoneticPr fontId="2" type="noConversion"/>
  </si>
  <si>
    <t>증감(B)-(A)</t>
  </si>
  <si>
    <t>비율(%)</t>
  </si>
  <si>
    <t>2022년
예산(B)</t>
    <phoneticPr fontId="3" type="noConversion"/>
  </si>
  <si>
    <t>2021년
예산(A)</t>
    <phoneticPr fontId="3" type="noConversion"/>
  </si>
  <si>
    <t>2021년
예산(A)</t>
    <phoneticPr fontId="2" type="noConversion"/>
  </si>
  <si>
    <t>2022년
예산(B)</t>
    <phoneticPr fontId="2" type="noConversion"/>
  </si>
  <si>
    <t>1차</t>
    <phoneticPr fontId="3" type="noConversion"/>
  </si>
  <si>
    <t>2차</t>
    <phoneticPr fontId="3" type="noConversion"/>
  </si>
  <si>
    <t>2021년</t>
    <phoneticPr fontId="2" type="noConversion"/>
  </si>
  <si>
    <t>산출내역</t>
    <phoneticPr fontId="3" type="noConversion"/>
  </si>
  <si>
    <t>동아리회원 단복 보조금 7,000,000원×1식</t>
    <phoneticPr fontId="2" type="noConversion"/>
  </si>
  <si>
    <t>전동현수막거치대 보조금 3,000,000원×1식</t>
    <phoneticPr fontId="2" type="noConversion"/>
  </si>
  <si>
    <t>일반 2,000원×20명×48일</t>
    <phoneticPr fontId="2" type="noConversion"/>
  </si>
  <si>
    <t>수급자 1,000원×10명×48일</t>
    <phoneticPr fontId="2" type="noConversion"/>
  </si>
  <si>
    <t>자판기 이용료 수입금 외 50,000원×20주</t>
    <phoneticPr fontId="3" type="noConversion"/>
  </si>
  <si>
    <t>해외연수비 2,000,000원×1식</t>
    <phoneticPr fontId="2" type="noConversion"/>
  </si>
  <si>
    <t>소방점검수수료</t>
    <phoneticPr fontId="2" type="noConversion"/>
  </si>
  <si>
    <t>100,000원×12개월</t>
    <phoneticPr fontId="2" type="noConversion"/>
  </si>
  <si>
    <t>저수조수질검사</t>
    <phoneticPr fontId="2" type="noConversion"/>
  </si>
  <si>
    <t>70,000원×1회</t>
    <phoneticPr fontId="2" type="noConversion"/>
  </si>
  <si>
    <t>1,300,000원×1회</t>
    <phoneticPr fontId="3" type="noConversion"/>
  </si>
  <si>
    <t>800,000원*11개월</t>
    <phoneticPr fontId="3" type="noConversion"/>
  </si>
  <si>
    <t>25,000원×2대×12개월</t>
    <phoneticPr fontId="3" type="noConversion"/>
  </si>
  <si>
    <t>사업관리사업비</t>
    <phoneticPr fontId="2" type="noConversion"/>
  </si>
  <si>
    <t>50,000원×4회</t>
    <phoneticPr fontId="2" type="noConversion"/>
  </si>
  <si>
    <t>분기평가회의</t>
    <phoneticPr fontId="2" type="noConversion"/>
  </si>
  <si>
    <t>100,000원×15명×1개월</t>
    <phoneticPr fontId="2" type="noConversion"/>
  </si>
  <si>
    <t>강사비 39,000원x2시간×2회x43주</t>
    <phoneticPr fontId="3" type="noConversion"/>
  </si>
  <si>
    <t>교통비   7,000원x2회x43주</t>
    <phoneticPr fontId="3" type="noConversion"/>
  </si>
  <si>
    <t>강사비 26,000원x2시간×1회x43주</t>
    <phoneticPr fontId="3" type="noConversion"/>
  </si>
  <si>
    <t>교통비  7,000원x1회x43주</t>
    <phoneticPr fontId="3" type="noConversion"/>
  </si>
  <si>
    <t>강사비  26,000원x2시간×2회x43주</t>
    <phoneticPr fontId="3" type="noConversion"/>
  </si>
  <si>
    <t>교통비    7,000원x2회x43주</t>
    <phoneticPr fontId="3" type="noConversion"/>
  </si>
  <si>
    <t>강사비 32,000원x2시간×2회x43주</t>
    <phoneticPr fontId="3" type="noConversion"/>
  </si>
  <si>
    <t>강사비  32,000원x2시간×2회x43주</t>
    <phoneticPr fontId="3" type="noConversion"/>
  </si>
  <si>
    <t>강사비 46,500원x2시간x43주</t>
    <phoneticPr fontId="3" type="noConversion"/>
  </si>
  <si>
    <t>교통비   7,000원x1회x43주</t>
    <phoneticPr fontId="3" type="noConversion"/>
  </si>
  <si>
    <t>강사비 26,000원x2시간x2회×43주</t>
    <phoneticPr fontId="3" type="noConversion"/>
  </si>
  <si>
    <t>강사비 26,000원x2시간×2회x43주</t>
    <phoneticPr fontId="3" type="noConversion"/>
  </si>
  <si>
    <t>강사비 36,000원x2시간×2회x43주</t>
    <phoneticPr fontId="3" type="noConversion"/>
  </si>
  <si>
    <t>강사비 36,000원x2시간x43주</t>
    <phoneticPr fontId="3" type="noConversion"/>
  </si>
  <si>
    <t>교통비    7,000원x1회x43주</t>
    <phoneticPr fontId="3" type="noConversion"/>
  </si>
  <si>
    <t>인바디</t>
    <phoneticPr fontId="2" type="noConversion"/>
  </si>
  <si>
    <t xml:space="preserve"> </t>
    <phoneticPr fontId="2" type="noConversion"/>
  </si>
  <si>
    <t>동아리회원 단복 구입</t>
    <phoneticPr fontId="2" type="noConversion"/>
  </si>
  <si>
    <t>7,000,000원×1식</t>
    <phoneticPr fontId="2" type="noConversion"/>
  </si>
  <si>
    <t>전동현수막거치대 설치</t>
    <phoneticPr fontId="2" type="noConversion"/>
  </si>
  <si>
    <t>100,000원×5회</t>
    <phoneticPr fontId="2" type="noConversion"/>
  </si>
  <si>
    <t>수퍼비전</t>
    <phoneticPr fontId="2" type="noConversion"/>
  </si>
  <si>
    <t>50,000원×2회</t>
    <phoneticPr fontId="2" type="noConversion"/>
  </si>
  <si>
    <t>지역사회공헌활동</t>
    <phoneticPr fontId="2" type="noConversion"/>
  </si>
  <si>
    <t>기능보강사업비</t>
    <phoneticPr fontId="2" type="noConversion"/>
  </si>
  <si>
    <t>키재는기계</t>
    <phoneticPr fontId="2" type="noConversion"/>
  </si>
  <si>
    <t>1,700,000원×1대</t>
    <phoneticPr fontId="2" type="noConversion"/>
  </si>
  <si>
    <t>300,000원×1식</t>
    <phoneticPr fontId="2" type="noConversion"/>
  </si>
  <si>
    <t>1,300,000원x1회</t>
    <phoneticPr fontId="3" type="noConversion"/>
  </si>
  <si>
    <t>1,100,000원x1회</t>
    <phoneticPr fontId="3" type="noConversion"/>
  </si>
  <si>
    <t>노래방기계</t>
    <phoneticPr fontId="2" type="noConversion"/>
  </si>
  <si>
    <t>400,000원×1대</t>
    <phoneticPr fontId="2" type="noConversion"/>
  </si>
  <si>
    <t>500,000원×1회</t>
    <phoneticPr fontId="2" type="noConversion"/>
  </si>
  <si>
    <t>603,600원×5명×2회</t>
    <phoneticPr fontId="3" type="noConversion"/>
  </si>
  <si>
    <t>(8,330원×12개월)+(50,300원×5명×2회)</t>
    <phoneticPr fontId="3" type="noConversion"/>
  </si>
  <si>
    <t>1,185,600원×1명×1회</t>
    <phoneticPr fontId="3" type="noConversion"/>
  </si>
  <si>
    <t>98,800원×1명×1회</t>
    <phoneticPr fontId="3" type="noConversion"/>
  </si>
  <si>
    <t>1,148,660원×1명×2회</t>
    <phoneticPr fontId="2" type="noConversion"/>
  </si>
  <si>
    <t>95,720원×1명×2회</t>
    <phoneticPr fontId="3" type="noConversion"/>
  </si>
  <si>
    <t>주부식비 2,054,000원×12개월</t>
    <phoneticPr fontId="3" type="noConversion"/>
  </si>
  <si>
    <t>직원 2,500원×15명×237일</t>
    <phoneticPr fontId="2" type="noConversion"/>
  </si>
  <si>
    <t>교육위원회</t>
    <phoneticPr fontId="3" type="noConversion"/>
  </si>
  <si>
    <t>400,000원×4회</t>
    <phoneticPr fontId="3" type="noConversion"/>
  </si>
  <si>
    <t>유급자원봉사비</t>
    <phoneticPr fontId="2" type="noConversion"/>
  </si>
  <si>
    <t>300,000원×10개</t>
    <phoneticPr fontId="3" type="noConversion"/>
  </si>
  <si>
    <t>2022년 세입예산 산출내역서</t>
    <phoneticPr fontId="3" type="noConversion"/>
  </si>
  <si>
    <t>2022년 세출예산 산출내역서</t>
    <phoneticPr fontId="3" type="noConversion"/>
  </si>
  <si>
    <t>노인연계프로그램</t>
    <phoneticPr fontId="2" type="noConversion"/>
  </si>
  <si>
    <t>무료중식사업보조금</t>
    <phoneticPr fontId="2" type="noConversion"/>
  </si>
  <si>
    <t>노인연계프로그램보조금</t>
    <phoneticPr fontId="2" type="noConversion"/>
  </si>
  <si>
    <t>밑반찬배달사업보조금</t>
    <phoneticPr fontId="2" type="noConversion"/>
  </si>
  <si>
    <t>노인사회활동지원사업보조금</t>
    <phoneticPr fontId="2" type="noConversion"/>
  </si>
  <si>
    <t>노인사회활동전담관리보조금</t>
    <phoneticPr fontId="2" type="noConversion"/>
  </si>
  <si>
    <t>운동처방사보조금</t>
    <phoneticPr fontId="2" type="noConversion"/>
  </si>
  <si>
    <t>정읍시북부노인대학보조금</t>
    <phoneticPr fontId="2" type="noConversion"/>
  </si>
  <si>
    <t>응급안전알리미보조금</t>
    <phoneticPr fontId="2" type="noConversion"/>
  </si>
  <si>
    <t>정향누리사업보조금</t>
    <phoneticPr fontId="2" type="noConversion"/>
  </si>
  <si>
    <t>기타보조금계</t>
    <phoneticPr fontId="2" type="noConversion"/>
  </si>
  <si>
    <t>기타보조금</t>
    <phoneticPr fontId="2" type="noConversion"/>
  </si>
  <si>
    <t>선배시민자원봉사단사업(서지말봉사단)</t>
    <phoneticPr fontId="2" type="noConversion"/>
  </si>
  <si>
    <t>선배시민자원봉사단(행복나눔봉사단)</t>
    <phoneticPr fontId="2" type="noConversion"/>
  </si>
  <si>
    <t>농촌재능나눔사업(이동복지관)</t>
    <phoneticPr fontId="2" type="noConversion"/>
  </si>
  <si>
    <t>서지말솜씨방수입</t>
    <phoneticPr fontId="2" type="noConversion"/>
  </si>
  <si>
    <t>노인대학수입</t>
    <phoneticPr fontId="2" type="noConversion"/>
  </si>
  <si>
    <t>고용지원사업비</t>
    <phoneticPr fontId="2" type="noConversion"/>
  </si>
  <si>
    <t>노인사회활동전담관리사업비</t>
    <phoneticPr fontId="2" type="noConversion"/>
  </si>
  <si>
    <t>운동처방사사업비</t>
    <phoneticPr fontId="2" type="noConversion"/>
  </si>
  <si>
    <t>노인대학사업비</t>
    <phoneticPr fontId="2" type="noConversion"/>
  </si>
  <si>
    <t>응급안전알리미사업비</t>
    <phoneticPr fontId="2" type="noConversion"/>
  </si>
  <si>
    <t>공기청정기지원사업비</t>
    <phoneticPr fontId="2" type="noConversion"/>
  </si>
  <si>
    <t>경로당정향누리사업비</t>
    <phoneticPr fontId="2" type="noConversion"/>
  </si>
  <si>
    <t>선배시민자원봉사단사업비(서지말기자단)</t>
    <phoneticPr fontId="2" type="noConversion"/>
  </si>
  <si>
    <t>선배시민자원봉사단사업비(행복나눔봉사단)</t>
    <phoneticPr fontId="2" type="noConversion"/>
  </si>
  <si>
    <t>선배시민자원봉사단사업비
(서지말기자단)</t>
    <phoneticPr fontId="2" type="noConversion"/>
  </si>
  <si>
    <t>선배시민자원봉사단사업비
(행복나눔봉사단)</t>
    <phoneticPr fontId="2" type="noConversion"/>
  </si>
  <si>
    <t>농촌재능나눔사업비(이동복지관)</t>
    <phoneticPr fontId="2" type="noConversion"/>
  </si>
  <si>
    <t>사업주훈련및일병학학습사업비</t>
    <phoneticPr fontId="2" type="noConversion"/>
  </si>
  <si>
    <t>지역문화해설사양성사업비</t>
    <phoneticPr fontId="2" type="noConversion"/>
  </si>
  <si>
    <t>응급안전알리미사업보조금</t>
    <phoneticPr fontId="2" type="noConversion"/>
  </si>
  <si>
    <t>경로당정향누리사업보조금</t>
    <phoneticPr fontId="2" type="noConversion"/>
  </si>
  <si>
    <t>선배시민자원봉사단사업
(서지말기자단)</t>
    <phoneticPr fontId="2" type="noConversion"/>
  </si>
  <si>
    <t>선배시민자원봉사단사업
(행복나눔봉사단)</t>
    <phoneticPr fontId="2" type="noConversion"/>
  </si>
  <si>
    <t>정읍시북부노인대학수입</t>
    <phoneticPr fontId="2" type="noConversion"/>
  </si>
  <si>
    <t>실습비 100,000원×4명</t>
  </si>
  <si>
    <t>지정후원금</t>
    <phoneticPr fontId="2" type="noConversion"/>
  </si>
  <si>
    <t>고용지원
사업비</t>
    <phoneticPr fontId="2" type="noConversion"/>
  </si>
  <si>
    <t>무료중식사업</t>
    <phoneticPr fontId="2" type="noConversion"/>
  </si>
  <si>
    <t>밑반찬배달사업</t>
    <phoneticPr fontId="2" type="noConversion"/>
  </si>
  <si>
    <t>정향누리사업비</t>
    <phoneticPr fontId="2" type="noConversion"/>
  </si>
  <si>
    <t>사업주훈련및일학습병행사업비</t>
    <phoneticPr fontId="2" type="noConversion"/>
  </si>
  <si>
    <t>3,500원×237일×63명</t>
    <phoneticPr fontId="2" type="noConversion"/>
  </si>
  <si>
    <t>1,350원×52주×5일×43명</t>
  </si>
  <si>
    <t>1,350원×52주×5일×43명</t>
    <phoneticPr fontId="2" type="noConversion"/>
  </si>
  <si>
    <t>공익형보조금</t>
    <phoneticPr fontId="2" type="noConversion"/>
  </si>
  <si>
    <t>시장형보조금</t>
    <phoneticPr fontId="2" type="noConversion"/>
  </si>
  <si>
    <t>1,976,000원×12개월×5명</t>
    <phoneticPr fontId="2" type="noConversion"/>
  </si>
  <si>
    <t>(1,976,000원×13개월×5명)+(1,262,000원×5명)</t>
    <phoneticPr fontId="2" type="noConversion"/>
  </si>
  <si>
    <t>노인대학보조금</t>
    <phoneticPr fontId="2" type="noConversion"/>
  </si>
  <si>
    <t>직원동아리활동지원사업 500,000원×1식</t>
    <phoneticPr fontId="2" type="noConversion"/>
  </si>
  <si>
    <t>등록금 80,000원×90명</t>
    <phoneticPr fontId="2" type="noConversion"/>
  </si>
  <si>
    <t>2021년 
예산(A)</t>
    <phoneticPr fontId="3" type="noConversion"/>
  </si>
  <si>
    <t>사업주훈련지원금 800,000원×6회</t>
    <phoneticPr fontId="2" type="noConversion"/>
  </si>
  <si>
    <t>직원동아리활동지원</t>
    <phoneticPr fontId="2" type="noConversion"/>
  </si>
  <si>
    <t>500,000원×1회</t>
    <phoneticPr fontId="2" type="noConversion"/>
  </si>
  <si>
    <t>강사비</t>
    <phoneticPr fontId="2" type="noConversion"/>
  </si>
  <si>
    <t>36주×9곳×2회×30,000원</t>
    <phoneticPr fontId="2" type="noConversion"/>
  </si>
  <si>
    <t>원거리교통비</t>
    <phoneticPr fontId="2" type="noConversion"/>
  </si>
  <si>
    <t>주유권</t>
    <phoneticPr fontId="2" type="noConversion"/>
  </si>
  <si>
    <t>작품발표회</t>
    <phoneticPr fontId="2" type="noConversion"/>
  </si>
  <si>
    <t>상품</t>
    <phoneticPr fontId="2" type="noConversion"/>
  </si>
  <si>
    <t>다과비</t>
    <phoneticPr fontId="2" type="noConversion"/>
  </si>
  <si>
    <t>현수막</t>
    <phoneticPr fontId="2" type="noConversion"/>
  </si>
  <si>
    <t>1회×100,000원</t>
    <phoneticPr fontId="2" type="noConversion"/>
  </si>
  <si>
    <t>사진인화</t>
    <phoneticPr fontId="2" type="noConversion"/>
  </si>
  <si>
    <t>특화사업</t>
    <phoneticPr fontId="2" type="noConversion"/>
  </si>
  <si>
    <t>특화사업비</t>
    <phoneticPr fontId="2" type="noConversion"/>
  </si>
  <si>
    <t>강사간담회및협약식</t>
    <phoneticPr fontId="2" type="noConversion"/>
  </si>
  <si>
    <t>임원간담회</t>
    <phoneticPr fontId="2" type="noConversion"/>
  </si>
  <si>
    <t>홍보비</t>
    <phoneticPr fontId="2" type="noConversion"/>
  </si>
  <si>
    <t>전담관리자여비</t>
    <phoneticPr fontId="2" type="noConversion"/>
  </si>
  <si>
    <t>유류비</t>
    <phoneticPr fontId="2" type="noConversion"/>
  </si>
  <si>
    <t>공익형급여</t>
    <phoneticPr fontId="2" type="noConversion"/>
  </si>
  <si>
    <t>인건비</t>
    <phoneticPr fontId="2" type="noConversion"/>
  </si>
  <si>
    <t>270,000원×642명×11개월</t>
    <phoneticPr fontId="2" type="noConversion"/>
  </si>
  <si>
    <t>시장형급여</t>
    <phoneticPr fontId="2" type="noConversion"/>
  </si>
  <si>
    <t>180,000원×18명×10개월</t>
    <phoneticPr fontId="2" type="noConversion"/>
  </si>
  <si>
    <t>공익형 부대경비</t>
    <phoneticPr fontId="2" type="noConversion"/>
  </si>
  <si>
    <t>115,560,000원×1식</t>
    <phoneticPr fontId="2" type="noConversion"/>
  </si>
  <si>
    <t>시장형부대경비</t>
    <phoneticPr fontId="2" type="noConversion"/>
  </si>
  <si>
    <t>15,660,000원×1식</t>
    <phoneticPr fontId="2" type="noConversion"/>
  </si>
  <si>
    <t>서지말솜씨방</t>
    <phoneticPr fontId="2" type="noConversion"/>
  </si>
  <si>
    <t>27,000,000원×1식</t>
    <phoneticPr fontId="2" type="noConversion"/>
  </si>
  <si>
    <t>퇴직연금</t>
    <phoneticPr fontId="2" type="noConversion"/>
  </si>
  <si>
    <t>1,976,000원×1개월×5명</t>
    <phoneticPr fontId="2" type="noConversion"/>
  </si>
  <si>
    <t>처우개선비</t>
    <phoneticPr fontId="2" type="noConversion"/>
  </si>
  <si>
    <t>1,262,000원×5명</t>
    <phoneticPr fontId="2" type="noConversion"/>
  </si>
  <si>
    <t>학생모집</t>
    <phoneticPr fontId="2" type="noConversion"/>
  </si>
  <si>
    <t>현수막 60,000원×6개</t>
    <phoneticPr fontId="2" type="noConversion"/>
  </si>
  <si>
    <t>입학식</t>
    <phoneticPr fontId="2" type="noConversion"/>
  </si>
  <si>
    <t>현수막 60,000원×1개</t>
    <phoneticPr fontId="2" type="noConversion"/>
  </si>
  <si>
    <t>중식비 2,500원×1회×90명</t>
    <phoneticPr fontId="2" type="noConversion"/>
  </si>
  <si>
    <t>강의수업</t>
    <phoneticPr fontId="2" type="noConversion"/>
  </si>
  <si>
    <t>강사수당 80,000원×2시간×25회</t>
    <phoneticPr fontId="2" type="noConversion"/>
  </si>
  <si>
    <t>중식비 2,500원×25회×90명</t>
    <phoneticPr fontId="2" type="noConversion"/>
  </si>
  <si>
    <t>재료비 10,000원×1회×90명</t>
    <phoneticPr fontId="2" type="noConversion"/>
  </si>
  <si>
    <t>간식비 5,000원×1회×90명</t>
    <phoneticPr fontId="2" type="noConversion"/>
  </si>
  <si>
    <t>체험학습</t>
    <phoneticPr fontId="2" type="noConversion"/>
  </si>
  <si>
    <t>차량임차비 400,000원×3개반×2회</t>
    <phoneticPr fontId="2" type="noConversion"/>
  </si>
  <si>
    <t>체험비 15,000원×3개반×30명×2회</t>
    <phoneticPr fontId="2" type="noConversion"/>
  </si>
  <si>
    <t>식사비 10,000원×3개반×30명×2회</t>
    <phoneticPr fontId="2" type="noConversion"/>
  </si>
  <si>
    <t>종업식</t>
    <phoneticPr fontId="2" type="noConversion"/>
  </si>
  <si>
    <t>기념품 10,000원×1회×90명</t>
    <phoneticPr fontId="2" type="noConversion"/>
  </si>
  <si>
    <t>회의비</t>
    <phoneticPr fontId="2" type="noConversion"/>
  </si>
  <si>
    <t>100,000원×5회</t>
    <phoneticPr fontId="2" type="noConversion"/>
  </si>
  <si>
    <t>운영비</t>
    <phoneticPr fontId="2" type="noConversion"/>
  </si>
  <si>
    <t>단체복 15,000원×90명</t>
    <phoneticPr fontId="2" type="noConversion"/>
  </si>
  <si>
    <t>사무용품,소모품 50,000원×8월</t>
    <phoneticPr fontId="2" type="noConversion"/>
  </si>
  <si>
    <t>방역용품 5,000원×90명</t>
    <phoneticPr fontId="2" type="noConversion"/>
  </si>
  <si>
    <t>예비비 227,000원×1식</t>
    <phoneticPr fontId="2" type="noConversion"/>
  </si>
  <si>
    <t>예비비</t>
    <phoneticPr fontId="2" type="noConversion"/>
  </si>
  <si>
    <t>응급관리요원급여</t>
    <phoneticPr fontId="2" type="noConversion"/>
  </si>
  <si>
    <t>4대보험</t>
    <phoneticPr fontId="2" type="noConversion"/>
  </si>
  <si>
    <t>퇴직금</t>
    <phoneticPr fontId="2" type="noConversion"/>
  </si>
  <si>
    <t>장비유지비</t>
    <phoneticPr fontId="2" type="noConversion"/>
  </si>
  <si>
    <t>장비통신비</t>
    <phoneticPr fontId="2" type="noConversion"/>
  </si>
  <si>
    <t>장비설치비및장비소모품</t>
    <phoneticPr fontId="2" type="noConversion"/>
  </si>
  <si>
    <t>기관운영비</t>
    <phoneticPr fontId="2" type="noConversion"/>
  </si>
  <si>
    <t>사무용품</t>
    <phoneticPr fontId="2" type="noConversion"/>
  </si>
  <si>
    <t>방역용품</t>
    <phoneticPr fontId="2" type="noConversion"/>
  </si>
  <si>
    <t>힐링나들이</t>
    <phoneticPr fontId="2" type="noConversion"/>
  </si>
  <si>
    <t>활동비</t>
    <phoneticPr fontId="2" type="noConversion"/>
  </si>
  <si>
    <t>1,914,440원×1명×12개월</t>
    <phoneticPr fontId="2" type="noConversion"/>
  </si>
  <si>
    <t>210,210원×1명×12개월</t>
    <phoneticPr fontId="2" type="noConversion"/>
  </si>
  <si>
    <t>159,540원×1명×12개월</t>
    <phoneticPr fontId="2" type="noConversion"/>
  </si>
  <si>
    <t>150대×12개월×2,200원</t>
    <phoneticPr fontId="2" type="noConversion"/>
  </si>
  <si>
    <t>3,040,000원×1식</t>
    <phoneticPr fontId="2" type="noConversion"/>
  </si>
  <si>
    <t>200,000원×12개월</t>
    <phoneticPr fontId="2" type="noConversion"/>
  </si>
  <si>
    <t>이용자교육</t>
    <phoneticPr fontId="3" type="noConversion"/>
  </si>
  <si>
    <t>사업진행비</t>
    <phoneticPr fontId="2" type="noConversion"/>
  </si>
  <si>
    <t>700,000원×1식</t>
    <phoneticPr fontId="2" type="noConversion"/>
  </si>
  <si>
    <t>500,000원×1식</t>
    <phoneticPr fontId="2" type="noConversion"/>
  </si>
  <si>
    <t>400,000원×4회</t>
    <phoneticPr fontId="2" type="noConversion"/>
  </si>
  <si>
    <t>556,000원×1회</t>
    <phoneticPr fontId="2" type="noConversion"/>
  </si>
  <si>
    <t>기타사업비</t>
    <phoneticPr fontId="2" type="noConversion"/>
  </si>
  <si>
    <t>1,000,000원×1식</t>
    <phoneticPr fontId="2" type="noConversion"/>
  </si>
  <si>
    <t>1,000,000원×4회</t>
    <phoneticPr fontId="2" type="noConversion"/>
  </si>
  <si>
    <t>150,000원×2회</t>
    <phoneticPr fontId="3" type="noConversion"/>
  </si>
  <si>
    <t>상품 25,000원×30명</t>
    <phoneticPr fontId="3" type="noConversion"/>
  </si>
  <si>
    <t>교통비 7,000원×1회×43주</t>
    <phoneticPr fontId="2" type="noConversion"/>
  </si>
  <si>
    <t>운동처방사보조금 29,562,000원×1식</t>
    <phoneticPr fontId="2" type="noConversion"/>
  </si>
  <si>
    <t>급여</t>
    <phoneticPr fontId="2" type="noConversion"/>
  </si>
  <si>
    <t>1,976,000원×12개월×1명</t>
    <phoneticPr fontId="2" type="noConversion"/>
  </si>
  <si>
    <t>명절수당</t>
    <phoneticPr fontId="2" type="noConversion"/>
  </si>
  <si>
    <t>1,976,000원×60%×1회</t>
    <phoneticPr fontId="2" type="noConversion"/>
  </si>
  <si>
    <t>퇴직연금</t>
    <phoneticPr fontId="2" type="noConversion"/>
  </si>
  <si>
    <t>1,976,000원×1개월×1명</t>
    <phoneticPr fontId="2" type="noConversion"/>
  </si>
  <si>
    <t>1,185,600원÷12개월×1명</t>
    <phoneticPr fontId="2" type="noConversion"/>
  </si>
  <si>
    <t>사회보험료</t>
    <phoneticPr fontId="2" type="noConversion"/>
  </si>
  <si>
    <t>215,800원×12개월</t>
    <phoneticPr fontId="2" type="noConversion"/>
  </si>
  <si>
    <t>1회×3명×200,000원</t>
    <phoneticPr fontId="2" type="noConversion"/>
  </si>
  <si>
    <t>10팀×100,000원</t>
    <phoneticPr fontId="2" type="noConversion"/>
  </si>
  <si>
    <t>10개×50,000원</t>
    <phoneticPr fontId="2" type="noConversion"/>
  </si>
  <si>
    <t>3,000,000원×1식</t>
    <phoneticPr fontId="2" type="noConversion"/>
  </si>
  <si>
    <t>2회×200,000원</t>
    <phoneticPr fontId="2" type="noConversion"/>
  </si>
  <si>
    <t>2회×250,000원</t>
    <phoneticPr fontId="2" type="noConversion"/>
  </si>
  <si>
    <t>1식×300,000원</t>
    <phoneticPr fontId="2" type="noConversion"/>
  </si>
  <si>
    <t>사무용품비</t>
    <phoneticPr fontId="2" type="noConversion"/>
  </si>
  <si>
    <t>전년도이월금(사업주훈련및일학습병행)</t>
    <phoneticPr fontId="2" type="noConversion"/>
  </si>
  <si>
    <t>800,000원×6회+7,000,000원(전년도이월금)</t>
    <phoneticPr fontId="2" type="noConversion"/>
  </si>
  <si>
    <t>신규수업</t>
    <phoneticPr fontId="2" type="noConversion"/>
  </si>
  <si>
    <t>강사비 26,000원x2시간×1회x43주</t>
    <phoneticPr fontId="2" type="noConversion"/>
  </si>
  <si>
    <t>12개월×130,000원</t>
    <phoneticPr fontId="2" type="noConversion"/>
  </si>
  <si>
    <t>1식×663,000원</t>
    <phoneticPr fontId="2" type="noConversion"/>
  </si>
  <si>
    <t>1회×400,000원</t>
    <phoneticPr fontId="2" type="noConversion"/>
  </si>
  <si>
    <t>8,251,000원×1식</t>
    <phoneticPr fontId="2" type="noConversion"/>
  </si>
  <si>
    <t>2022년 예산서 세입세출 총괄표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</si>
</sst>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0_ "/>
    <numFmt numFmtId="177" formatCode="#,##0,"/>
    <numFmt numFmtId="178" formatCode="0.0_ "/>
    <numFmt numFmtId="179" formatCode="_-* #,##0.0_-;\-* #,##0.0_-;_-* &quot;-&quot;_-;_-@_-"/>
    <numFmt numFmtId="180" formatCode="0.0"/>
    <numFmt numFmtId="181" formatCode="#,##0_);[Red]\(#,##0\)"/>
    <numFmt numFmtId="182" formatCode="#,##0.000000_);[Red]\(#,##0.000000\)"/>
    <numFmt numFmtId="183" formatCode="#,##0.000,"/>
    <numFmt numFmtId="185" formatCode="#,##0.00000,"/>
    <numFmt numFmtId="186" formatCode="0.0%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-윤명조330"/>
      <family val="1"/>
      <charset val="129"/>
    </font>
    <font>
      <sz val="11"/>
      <name val="굴림체"/>
      <family val="3"/>
      <charset val="129"/>
    </font>
    <font>
      <b/>
      <sz val="12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sz val="10"/>
      <name val="HY신명조"/>
      <family val="1"/>
      <charset val="129"/>
    </font>
    <font>
      <sz val="10"/>
      <name val="돋움"/>
      <family val="3"/>
      <charset val="129"/>
    </font>
    <font>
      <b/>
      <sz val="9"/>
      <name val="HY신명조"/>
      <family val="1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0"/>
      <name val="HY신명조"/>
      <family val="1"/>
      <charset val="129"/>
    </font>
    <font>
      <b/>
      <sz val="20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함초롬바탕"/>
      <family val="1"/>
      <charset val="129"/>
    </font>
    <font>
      <sz val="11"/>
      <name val="함초롬바탕"/>
      <family val="1"/>
      <charset val="129"/>
    </font>
    <font>
      <b/>
      <sz val="14"/>
      <name val="함초롬바탕"/>
      <family val="1"/>
      <charset val="129"/>
    </font>
    <font>
      <sz val="14"/>
      <name val="함초롬바탕"/>
      <family val="1"/>
      <charset val="129"/>
    </font>
    <font>
      <b/>
      <sz val="11"/>
      <color theme="1"/>
      <name val="함초롬바탕"/>
      <family val="1"/>
      <charset val="129"/>
    </font>
    <font>
      <sz val="11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  <font>
      <sz val="12"/>
      <color theme="1"/>
      <name val="함초롬바탕"/>
      <family val="1"/>
      <charset val="129"/>
    </font>
    <font>
      <b/>
      <sz val="12"/>
      <color theme="1"/>
      <name val="함초롬바탕"/>
      <family val="1"/>
      <charset val="129"/>
    </font>
    <font>
      <b/>
      <sz val="28"/>
      <color theme="1"/>
      <name val="함초롬바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함초롬바탕"/>
      <family val="1"/>
      <charset val="129"/>
    </font>
    <font>
      <sz val="10"/>
      <color theme="1"/>
      <name val="HY신명조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6" fillId="0" borderId="0" applyFont="0" applyFill="0" applyBorder="0" applyAlignment="0" applyProtection="0">
      <alignment vertical="center"/>
    </xf>
  </cellStyleXfs>
  <cellXfs count="623">
    <xf numFmtId="0" fontId="0" fillId="0" borderId="0" xfId="0">
      <alignment vertical="center"/>
    </xf>
    <xf numFmtId="0" fontId="1" fillId="0" borderId="0" xfId="1">
      <alignment vertical="center"/>
    </xf>
    <xf numFmtId="41" fontId="1" fillId="0" borderId="0" xfId="3" applyFont="1">
      <alignment vertical="center"/>
    </xf>
    <xf numFmtId="41" fontId="1" fillId="0" borderId="0" xfId="3" applyFont="1" applyBorder="1" applyAlignment="1">
      <alignment horizontal="center"/>
    </xf>
    <xf numFmtId="0" fontId="4" fillId="0" borderId="0" xfId="1" applyFont="1" applyAlignment="1">
      <alignment horizontal="right" vertical="center"/>
    </xf>
    <xf numFmtId="0" fontId="5" fillId="0" borderId="0" xfId="4" applyFont="1">
      <alignment vertical="center"/>
    </xf>
    <xf numFmtId="177" fontId="5" fillId="0" borderId="0" xfId="4" applyNumberFormat="1" applyFont="1">
      <alignment vertical="center"/>
    </xf>
    <xf numFmtId="0" fontId="1" fillId="0" borderId="0" xfId="4">
      <alignment vertical="center"/>
    </xf>
    <xf numFmtId="177" fontId="1" fillId="0" borderId="0" xfId="4" applyNumberFormat="1">
      <alignment vertical="center"/>
    </xf>
    <xf numFmtId="0" fontId="0" fillId="0" borderId="0" xfId="4" applyFont="1">
      <alignment vertical="center"/>
    </xf>
    <xf numFmtId="0" fontId="7" fillId="0" borderId="0" xfId="4" applyFont="1">
      <alignment vertical="center"/>
    </xf>
    <xf numFmtId="179" fontId="8" fillId="0" borderId="0" xfId="3" applyNumberFormat="1" applyFont="1" applyFill="1" applyBorder="1" applyAlignment="1">
      <alignment horizontal="center"/>
    </xf>
    <xf numFmtId="41" fontId="8" fillId="0" borderId="0" xfId="3" applyFont="1" applyFill="1" applyBorder="1" applyAlignment="1">
      <alignment horizontal="center"/>
    </xf>
    <xf numFmtId="41" fontId="8" fillId="0" borderId="0" xfId="3" applyFont="1" applyFill="1" applyBorder="1" applyAlignment="1">
      <alignment horizontal="right"/>
    </xf>
    <xf numFmtId="0" fontId="9" fillId="0" borderId="0" xfId="1" applyFont="1">
      <alignment vertical="center"/>
    </xf>
    <xf numFmtId="41" fontId="9" fillId="0" borderId="0" xfId="3" applyFont="1" applyFill="1" applyBorder="1">
      <alignment vertical="center"/>
    </xf>
    <xf numFmtId="41" fontId="1" fillId="0" borderId="0" xfId="3" applyFont="1" applyFill="1">
      <alignment vertical="center"/>
    </xf>
    <xf numFmtId="41" fontId="1" fillId="0" borderId="0" xfId="3" applyFont="1" applyFill="1" applyAlignment="1">
      <alignment horizontal="center"/>
    </xf>
    <xf numFmtId="41" fontId="1" fillId="0" borderId="0" xfId="3" applyFont="1" applyFill="1" applyAlignment="1">
      <alignment horizontal="right"/>
    </xf>
    <xf numFmtId="41" fontId="1" fillId="0" borderId="0" xfId="3" applyFont="1" applyAlignment="1">
      <alignment horizontal="center"/>
    </xf>
    <xf numFmtId="41" fontId="1" fillId="0" borderId="0" xfId="3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11" fillId="0" borderId="0" xfId="1" applyFont="1">
      <alignment vertical="center"/>
    </xf>
    <xf numFmtId="0" fontId="1" fillId="4" borderId="0" xfId="1" applyFill="1">
      <alignment vertical="center"/>
    </xf>
    <xf numFmtId="41" fontId="0" fillId="0" borderId="0" xfId="3" applyFont="1" applyBorder="1">
      <alignment vertical="center"/>
    </xf>
    <xf numFmtId="41" fontId="1" fillId="0" borderId="0" xfId="3" applyFont="1" applyBorder="1">
      <alignment vertical="center"/>
    </xf>
    <xf numFmtId="177" fontId="1" fillId="0" borderId="0" xfId="1" applyNumberFormat="1">
      <alignment vertical="center"/>
    </xf>
    <xf numFmtId="0" fontId="13" fillId="0" borderId="0" xfId="1" applyFont="1" applyAlignment="1">
      <alignment horizontal="left" vertical="center"/>
    </xf>
    <xf numFmtId="177" fontId="13" fillId="0" borderId="0" xfId="1" applyNumberFormat="1" applyFont="1" applyAlignment="1">
      <alignment horizontal="right" vertical="center"/>
    </xf>
    <xf numFmtId="41" fontId="13" fillId="0" borderId="0" xfId="3" applyFont="1" applyFill="1" applyBorder="1" applyAlignment="1">
      <alignment horizontal="left" vertical="center"/>
    </xf>
    <xf numFmtId="0" fontId="13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41" fontId="1" fillId="0" borderId="0" xfId="1" applyNumberFormat="1">
      <alignment vertical="center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41" fontId="8" fillId="0" borderId="0" xfId="3" applyFont="1" applyFill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41" fontId="8" fillId="0" borderId="0" xfId="3" applyFont="1" applyFill="1" applyBorder="1">
      <alignment vertical="center"/>
    </xf>
    <xf numFmtId="41" fontId="9" fillId="0" borderId="0" xfId="3" applyFont="1" applyFill="1" applyAlignment="1">
      <alignment horizontal="center"/>
    </xf>
    <xf numFmtId="41" fontId="9" fillId="0" borderId="0" xfId="3" applyFont="1" applyFill="1" applyAlignment="1">
      <alignment horizontal="right"/>
    </xf>
    <xf numFmtId="41" fontId="9" fillId="0" borderId="0" xfId="3" applyFont="1" applyFill="1">
      <alignment vertical="center"/>
    </xf>
    <xf numFmtId="0" fontId="12" fillId="0" borderId="0" xfId="1" applyFont="1" applyAlignment="1">
      <alignment horizontal="right" vertical="center"/>
    </xf>
    <xf numFmtId="41" fontId="6" fillId="0" borderId="0" xfId="3" applyFont="1" applyFill="1" applyBorder="1" applyAlignment="1">
      <alignment horizontal="right" vertical="center"/>
    </xf>
    <xf numFmtId="185" fontId="1" fillId="0" borderId="0" xfId="1" applyNumberFormat="1">
      <alignment vertical="center"/>
    </xf>
    <xf numFmtId="0" fontId="1" fillId="0" borderId="0" xfId="4" applyFill="1">
      <alignment vertical="center"/>
    </xf>
    <xf numFmtId="41" fontId="1" fillId="0" borderId="56" xfId="3" applyFont="1" applyBorder="1">
      <alignment vertical="center"/>
    </xf>
    <xf numFmtId="0" fontId="17" fillId="2" borderId="47" xfId="2" applyFont="1" applyFill="1" applyBorder="1" applyAlignment="1">
      <alignment horizontal="center" vertical="center"/>
    </xf>
    <xf numFmtId="0" fontId="17" fillId="2" borderId="43" xfId="2" applyFont="1" applyFill="1" applyBorder="1" applyAlignment="1">
      <alignment horizontal="center" vertical="center"/>
    </xf>
    <xf numFmtId="49" fontId="17" fillId="2" borderId="65" xfId="3" applyNumberFormat="1" applyFont="1" applyFill="1" applyBorder="1" applyAlignment="1">
      <alignment horizontal="center" vertical="center"/>
    </xf>
    <xf numFmtId="177" fontId="17" fillId="2" borderId="20" xfId="2" applyNumberFormat="1" applyFont="1" applyFill="1" applyBorder="1">
      <alignment vertical="center"/>
    </xf>
    <xf numFmtId="177" fontId="17" fillId="2" borderId="19" xfId="2" applyNumberFormat="1" applyFont="1" applyFill="1" applyBorder="1">
      <alignment vertical="center"/>
    </xf>
    <xf numFmtId="177" fontId="17" fillId="2" borderId="21" xfId="2" applyNumberFormat="1" applyFont="1" applyFill="1" applyBorder="1">
      <alignment vertical="center"/>
    </xf>
    <xf numFmtId="177" fontId="17" fillId="2" borderId="23" xfId="2" applyNumberFormat="1" applyFont="1" applyFill="1" applyBorder="1">
      <alignment vertical="center"/>
    </xf>
    <xf numFmtId="177" fontId="17" fillId="2" borderId="25" xfId="2" applyNumberFormat="1" applyFont="1" applyFill="1" applyBorder="1">
      <alignment vertical="center"/>
    </xf>
    <xf numFmtId="186" fontId="17" fillId="2" borderId="21" xfId="5" applyNumberFormat="1" applyFont="1" applyFill="1" applyBorder="1">
      <alignment vertical="center"/>
    </xf>
    <xf numFmtId="177" fontId="17" fillId="2" borderId="21" xfId="3" applyNumberFormat="1" applyFont="1" applyFill="1" applyBorder="1" applyAlignment="1">
      <alignment horizontal="right" vertical="center"/>
    </xf>
    <xf numFmtId="186" fontId="17" fillId="2" borderId="21" xfId="5" applyNumberFormat="1" applyFont="1" applyFill="1" applyBorder="1" applyAlignment="1">
      <alignment horizontal="right" vertical="center"/>
    </xf>
    <xf numFmtId="0" fontId="18" fillId="2" borderId="26" xfId="2" applyFont="1" applyFill="1" applyBorder="1" applyAlignment="1">
      <alignment horizontal="center" vertical="center"/>
    </xf>
    <xf numFmtId="0" fontId="18" fillId="2" borderId="27" xfId="2" applyFont="1" applyFill="1" applyBorder="1" applyAlignment="1">
      <alignment horizontal="center" vertical="center"/>
    </xf>
    <xf numFmtId="177" fontId="18" fillId="2" borderId="27" xfId="2" applyNumberFormat="1" applyFont="1" applyFill="1" applyBorder="1">
      <alignment vertical="center"/>
    </xf>
    <xf numFmtId="177" fontId="18" fillId="2" borderId="26" xfId="2" applyNumberFormat="1" applyFont="1" applyFill="1" applyBorder="1">
      <alignment vertical="center"/>
    </xf>
    <xf numFmtId="177" fontId="18" fillId="2" borderId="28" xfId="2" applyNumberFormat="1" applyFont="1" applyFill="1" applyBorder="1">
      <alignment vertical="center"/>
    </xf>
    <xf numFmtId="177" fontId="18" fillId="2" borderId="30" xfId="2" applyNumberFormat="1" applyFont="1" applyFill="1" applyBorder="1">
      <alignment vertical="center"/>
    </xf>
    <xf numFmtId="177" fontId="18" fillId="2" borderId="55" xfId="2" applyNumberFormat="1" applyFont="1" applyFill="1" applyBorder="1">
      <alignment vertical="center"/>
    </xf>
    <xf numFmtId="186" fontId="18" fillId="2" borderId="9" xfId="5" applyNumberFormat="1" applyFont="1" applyFill="1" applyBorder="1">
      <alignment vertical="center"/>
    </xf>
    <xf numFmtId="41" fontId="17" fillId="0" borderId="6" xfId="3" applyFont="1" applyFill="1" applyBorder="1" applyAlignment="1">
      <alignment horizontal="center" vertical="top"/>
    </xf>
    <xf numFmtId="41" fontId="18" fillId="2" borderId="31" xfId="3" applyFont="1" applyFill="1" applyBorder="1" applyAlignment="1">
      <alignment horizontal="center" vertical="center"/>
    </xf>
    <xf numFmtId="41" fontId="17" fillId="2" borderId="32" xfId="3" applyFont="1" applyFill="1" applyBorder="1" applyAlignment="1">
      <alignment horizontal="center" vertical="center"/>
    </xf>
    <xf numFmtId="177" fontId="17" fillId="2" borderId="34" xfId="3" applyNumberFormat="1" applyFont="1" applyFill="1" applyBorder="1" applyAlignment="1">
      <alignment horizontal="right" vertical="center"/>
    </xf>
    <xf numFmtId="177" fontId="17" fillId="2" borderId="9" xfId="3" applyNumberFormat="1" applyFont="1" applyFill="1" applyBorder="1" applyAlignment="1">
      <alignment horizontal="right" vertical="center"/>
    </xf>
    <xf numFmtId="186" fontId="18" fillId="2" borderId="9" xfId="5" applyNumberFormat="1" applyFont="1" applyFill="1" applyBorder="1" applyAlignment="1">
      <alignment horizontal="right" vertical="center"/>
    </xf>
    <xf numFmtId="178" fontId="18" fillId="0" borderId="36" xfId="2" applyNumberFormat="1" applyFont="1" applyBorder="1" applyAlignment="1">
      <alignment horizontal="center" vertical="center"/>
    </xf>
    <xf numFmtId="0" fontId="18" fillId="0" borderId="2" xfId="2" applyFont="1" applyBorder="1" applyAlignment="1">
      <alignment horizontal="center" vertical="center"/>
    </xf>
    <xf numFmtId="177" fontId="18" fillId="0" borderId="2" xfId="2" applyNumberFormat="1" applyFont="1" applyBorder="1">
      <alignment vertical="center"/>
    </xf>
    <xf numFmtId="177" fontId="18" fillId="0" borderId="5" xfId="2" applyNumberFormat="1" applyFont="1" applyBorder="1">
      <alignment vertical="center"/>
    </xf>
    <xf numFmtId="177" fontId="18" fillId="0" borderId="37" xfId="2" applyNumberFormat="1" applyFont="1" applyBorder="1">
      <alignment vertical="center"/>
    </xf>
    <xf numFmtId="177" fontId="18" fillId="0" borderId="39" xfId="2" applyNumberFormat="1" applyFont="1" applyBorder="1">
      <alignment vertical="center"/>
    </xf>
    <xf numFmtId="177" fontId="18" fillId="0" borderId="49" xfId="2" applyNumberFormat="1" applyFont="1" applyBorder="1">
      <alignment vertical="center"/>
    </xf>
    <xf numFmtId="186" fontId="18" fillId="0" borderId="37" xfId="5" applyNumberFormat="1" applyFont="1" applyFill="1" applyBorder="1">
      <alignment vertical="center"/>
    </xf>
    <xf numFmtId="179" fontId="18" fillId="0" borderId="35" xfId="3" applyNumberFormat="1" applyFont="1" applyFill="1" applyBorder="1" applyAlignment="1">
      <alignment horizontal="center" vertical="top"/>
    </xf>
    <xf numFmtId="41" fontId="18" fillId="2" borderId="5" xfId="3" applyFont="1" applyFill="1" applyBorder="1" applyAlignment="1">
      <alignment horizontal="center" vertical="center"/>
    </xf>
    <xf numFmtId="41" fontId="18" fillId="2" borderId="39" xfId="3" applyFont="1" applyFill="1" applyBorder="1" applyAlignment="1">
      <alignment horizontal="center" vertical="center"/>
    </xf>
    <xf numFmtId="177" fontId="18" fillId="2" borderId="37" xfId="3" applyNumberFormat="1" applyFont="1" applyFill="1" applyBorder="1" applyAlignment="1">
      <alignment horizontal="right" vertical="center"/>
    </xf>
    <xf numFmtId="186" fontId="18" fillId="2" borderId="37" xfId="5" applyNumberFormat="1" applyFont="1" applyFill="1" applyBorder="1" applyAlignment="1">
      <alignment horizontal="right" vertical="center"/>
    </xf>
    <xf numFmtId="0" fontId="17" fillId="0" borderId="35" xfId="2" applyFont="1" applyBorder="1" applyAlignment="1">
      <alignment horizontal="center" vertical="top" wrapText="1"/>
    </xf>
    <xf numFmtId="0" fontId="18" fillId="0" borderId="40" xfId="2" applyFont="1" applyBorder="1" applyAlignment="1">
      <alignment horizontal="center" vertical="center"/>
    </xf>
    <xf numFmtId="0" fontId="18" fillId="0" borderId="2" xfId="2" applyFont="1" applyBorder="1" applyAlignment="1">
      <alignment horizontal="center" vertical="center" shrinkToFit="1"/>
    </xf>
    <xf numFmtId="41" fontId="17" fillId="0" borderId="35" xfId="3" applyFont="1" applyFill="1" applyBorder="1" applyAlignment="1">
      <alignment horizontal="center" vertical="top"/>
    </xf>
    <xf numFmtId="179" fontId="18" fillId="0" borderId="36" xfId="3" applyNumberFormat="1" applyFont="1" applyFill="1" applyBorder="1" applyAlignment="1">
      <alignment horizontal="center" vertical="center"/>
    </xf>
    <xf numFmtId="41" fontId="18" fillId="0" borderId="39" xfId="3" applyFont="1" applyFill="1" applyBorder="1" applyAlignment="1">
      <alignment horizontal="center" vertical="center"/>
    </xf>
    <xf numFmtId="177" fontId="18" fillId="0" borderId="37" xfId="3" applyNumberFormat="1" applyFont="1" applyFill="1" applyBorder="1" applyAlignment="1">
      <alignment horizontal="right" vertical="center"/>
    </xf>
    <xf numFmtId="186" fontId="18" fillId="0" borderId="37" xfId="5" applyNumberFormat="1" applyFont="1" applyFill="1" applyBorder="1" applyAlignment="1">
      <alignment horizontal="right" vertical="center"/>
    </xf>
    <xf numFmtId="0" fontId="18" fillId="2" borderId="5" xfId="1" applyFont="1" applyFill="1" applyBorder="1" applyAlignment="1">
      <alignment horizontal="center" vertical="center"/>
    </xf>
    <xf numFmtId="0" fontId="18" fillId="2" borderId="3" xfId="1" applyFont="1" applyFill="1" applyBorder="1" applyAlignment="1">
      <alignment horizontal="center" vertical="center" wrapText="1"/>
    </xf>
    <xf numFmtId="177" fontId="18" fillId="2" borderId="2" xfId="1" applyNumberFormat="1" applyFont="1" applyFill="1" applyBorder="1" applyAlignment="1">
      <alignment vertical="center" wrapText="1"/>
    </xf>
    <xf numFmtId="177" fontId="18" fillId="2" borderId="5" xfId="1" applyNumberFormat="1" applyFont="1" applyFill="1" applyBorder="1" applyAlignment="1">
      <alignment vertical="center" wrapText="1"/>
    </xf>
    <xf numFmtId="177" fontId="18" fillId="2" borderId="37" xfId="1" applyNumberFormat="1" applyFont="1" applyFill="1" applyBorder="1" applyAlignment="1">
      <alignment vertical="center" wrapText="1"/>
    </xf>
    <xf numFmtId="177" fontId="18" fillId="2" borderId="39" xfId="1" applyNumberFormat="1" applyFont="1" applyFill="1" applyBorder="1" applyAlignment="1">
      <alignment vertical="center" wrapText="1"/>
    </xf>
    <xf numFmtId="177" fontId="18" fillId="3" borderId="49" xfId="2" applyNumberFormat="1" applyFont="1" applyFill="1" applyBorder="1">
      <alignment vertical="center"/>
    </xf>
    <xf numFmtId="186" fontId="18" fillId="3" borderId="37" xfId="5" applyNumberFormat="1" applyFont="1" applyFill="1" applyBorder="1">
      <alignment vertical="center"/>
    </xf>
    <xf numFmtId="41" fontId="18" fillId="0" borderId="40" xfId="3" applyFont="1" applyFill="1" applyBorder="1" applyAlignment="1">
      <alignment horizontal="center" vertical="center"/>
    </xf>
    <xf numFmtId="178" fontId="18" fillId="0" borderId="40" xfId="1" applyNumberFormat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 wrapText="1"/>
    </xf>
    <xf numFmtId="177" fontId="18" fillId="0" borderId="27" xfId="1" applyNumberFormat="1" applyFont="1" applyBorder="1" applyAlignment="1">
      <alignment vertical="center" wrapText="1"/>
    </xf>
    <xf numFmtId="177" fontId="18" fillId="0" borderId="26" xfId="1" applyNumberFormat="1" applyFont="1" applyBorder="1" applyAlignment="1">
      <alignment vertical="center" wrapText="1"/>
    </xf>
    <xf numFmtId="177" fontId="18" fillId="0" borderId="28" xfId="1" applyNumberFormat="1" applyFont="1" applyBorder="1" applyAlignment="1">
      <alignment vertical="center" wrapText="1"/>
    </xf>
    <xf numFmtId="177" fontId="18" fillId="0" borderId="30" xfId="1" applyNumberFormat="1" applyFont="1" applyBorder="1" applyAlignment="1">
      <alignment vertical="center" wrapText="1"/>
    </xf>
    <xf numFmtId="41" fontId="18" fillId="0" borderId="39" xfId="3" applyFont="1" applyFill="1" applyBorder="1" applyAlignment="1">
      <alignment horizontal="center" vertical="center" wrapText="1"/>
    </xf>
    <xf numFmtId="0" fontId="17" fillId="0" borderId="45" xfId="2" applyFont="1" applyBorder="1" applyAlignment="1">
      <alignment horizontal="center" vertical="center"/>
    </xf>
    <xf numFmtId="0" fontId="18" fillId="2" borderId="5" xfId="2" applyFont="1" applyFill="1" applyBorder="1" applyAlignment="1">
      <alignment horizontal="center" vertical="center"/>
    </xf>
    <xf numFmtId="0" fontId="18" fillId="2" borderId="2" xfId="2" applyFont="1" applyFill="1" applyBorder="1" applyAlignment="1">
      <alignment horizontal="center" vertical="center"/>
    </xf>
    <xf numFmtId="177" fontId="18" fillId="2" borderId="2" xfId="2" applyNumberFormat="1" applyFont="1" applyFill="1" applyBorder="1">
      <alignment vertical="center"/>
    </xf>
    <xf numFmtId="177" fontId="18" fillId="2" borderId="5" xfId="2" applyNumberFormat="1" applyFont="1" applyFill="1" applyBorder="1">
      <alignment vertical="center"/>
    </xf>
    <xf numFmtId="177" fontId="18" fillId="2" borderId="37" xfId="2" applyNumberFormat="1" applyFont="1" applyFill="1" applyBorder="1">
      <alignment vertical="center"/>
    </xf>
    <xf numFmtId="177" fontId="18" fillId="2" borderId="39" xfId="2" applyNumberFormat="1" applyFont="1" applyFill="1" applyBorder="1">
      <alignment vertical="center"/>
    </xf>
    <xf numFmtId="41" fontId="18" fillId="0" borderId="39" xfId="3" applyFont="1" applyFill="1" applyBorder="1" applyAlignment="1">
      <alignment horizontal="center" vertical="center" shrinkToFit="1"/>
    </xf>
    <xf numFmtId="0" fontId="17" fillId="0" borderId="46" xfId="2" applyFont="1" applyBorder="1" applyAlignment="1">
      <alignment horizontal="center" vertical="center"/>
    </xf>
    <xf numFmtId="178" fontId="18" fillId="0" borderId="5" xfId="2" applyNumberFormat="1" applyFont="1" applyBorder="1" applyAlignment="1">
      <alignment horizontal="center" vertical="center"/>
    </xf>
    <xf numFmtId="41" fontId="18" fillId="2" borderId="30" xfId="3" applyFont="1" applyFill="1" applyBorder="1" applyAlignment="1">
      <alignment horizontal="center" vertical="center" shrinkToFit="1"/>
    </xf>
    <xf numFmtId="177" fontId="18" fillId="2" borderId="28" xfId="3" applyNumberFormat="1" applyFont="1" applyFill="1" applyBorder="1" applyAlignment="1">
      <alignment horizontal="right" vertical="center" shrinkToFit="1"/>
    </xf>
    <xf numFmtId="177" fontId="18" fillId="3" borderId="37" xfId="3" applyNumberFormat="1" applyFont="1" applyFill="1" applyBorder="1" applyAlignment="1">
      <alignment horizontal="right" vertical="center"/>
    </xf>
    <xf numFmtId="186" fontId="18" fillId="3" borderId="37" xfId="5" applyNumberFormat="1" applyFont="1" applyFill="1" applyBorder="1" applyAlignment="1">
      <alignment horizontal="right" vertical="center"/>
    </xf>
    <xf numFmtId="0" fontId="17" fillId="0" borderId="35" xfId="2" applyFont="1" applyBorder="1" applyAlignment="1">
      <alignment horizontal="center" vertical="top"/>
    </xf>
    <xf numFmtId="41" fontId="18" fillId="0" borderId="36" xfId="3" applyFont="1" applyFill="1" applyBorder="1" applyAlignment="1">
      <alignment horizontal="center" vertical="center"/>
    </xf>
    <xf numFmtId="41" fontId="18" fillId="0" borderId="30" xfId="3" applyFont="1" applyFill="1" applyBorder="1" applyAlignment="1">
      <alignment horizontal="center" vertical="center" shrinkToFit="1"/>
    </xf>
    <xf numFmtId="177" fontId="18" fillId="0" borderId="28" xfId="3" applyNumberFormat="1" applyFont="1" applyFill="1" applyBorder="1" applyAlignment="1">
      <alignment horizontal="right" vertical="center" shrinkToFit="1"/>
    </xf>
    <xf numFmtId="0" fontId="18" fillId="0" borderId="3" xfId="1" applyFont="1" applyBorder="1" applyAlignment="1">
      <alignment horizontal="center" vertical="center"/>
    </xf>
    <xf numFmtId="177" fontId="18" fillId="0" borderId="2" xfId="1" applyNumberFormat="1" applyFont="1" applyBorder="1">
      <alignment vertical="center"/>
    </xf>
    <xf numFmtId="177" fontId="18" fillId="0" borderId="5" xfId="1" applyNumberFormat="1" applyFont="1" applyBorder="1">
      <alignment vertical="center"/>
    </xf>
    <xf numFmtId="177" fontId="18" fillId="0" borderId="37" xfId="1" applyNumberFormat="1" applyFont="1" applyBorder="1">
      <alignment vertical="center"/>
    </xf>
    <xf numFmtId="177" fontId="18" fillId="0" borderId="39" xfId="1" applyNumberFormat="1" applyFont="1" applyBorder="1">
      <alignment vertical="center"/>
    </xf>
    <xf numFmtId="179" fontId="18" fillId="0" borderId="26" xfId="3" applyNumberFormat="1" applyFont="1" applyFill="1" applyBorder="1" applyAlignment="1">
      <alignment horizontal="center" vertical="center"/>
    </xf>
    <xf numFmtId="41" fontId="18" fillId="0" borderId="30" xfId="3" applyFont="1" applyFill="1" applyBorder="1" applyAlignment="1">
      <alignment horizontal="center" vertical="center"/>
    </xf>
    <xf numFmtId="177" fontId="18" fillId="0" borderId="28" xfId="3" applyNumberFormat="1" applyFont="1" applyFill="1" applyBorder="1" applyAlignment="1">
      <alignment horizontal="right" vertical="center"/>
    </xf>
    <xf numFmtId="0" fontId="17" fillId="0" borderId="45" xfId="2" applyFont="1" applyBorder="1" applyAlignment="1">
      <alignment horizontal="center" vertical="center" wrapText="1"/>
    </xf>
    <xf numFmtId="41" fontId="18" fillId="2" borderId="26" xfId="3" applyFont="1" applyFill="1" applyBorder="1" applyAlignment="1">
      <alignment horizontal="center" vertical="center"/>
    </xf>
    <xf numFmtId="41" fontId="18" fillId="2" borderId="30" xfId="3" applyFont="1" applyFill="1" applyBorder="1" applyAlignment="1">
      <alignment horizontal="center" vertical="center"/>
    </xf>
    <xf numFmtId="177" fontId="18" fillId="2" borderId="28" xfId="3" applyNumberFormat="1" applyFont="1" applyFill="1" applyBorder="1" applyAlignment="1">
      <alignment horizontal="right" vertical="center"/>
    </xf>
    <xf numFmtId="0" fontId="17" fillId="0" borderId="35" xfId="2" applyFont="1" applyBorder="1" applyAlignment="1">
      <alignment horizontal="center" vertical="center" wrapText="1"/>
    </xf>
    <xf numFmtId="41" fontId="18" fillId="0" borderId="41" xfId="3" applyFont="1" applyFill="1" applyBorder="1" applyAlignment="1">
      <alignment horizontal="center" vertical="center" shrinkToFit="1"/>
    </xf>
    <xf numFmtId="177" fontId="18" fillId="0" borderId="44" xfId="3" applyNumberFormat="1" applyFont="1" applyFill="1" applyBorder="1" applyAlignment="1">
      <alignment horizontal="right" vertical="center" shrinkToFit="1"/>
    </xf>
    <xf numFmtId="0" fontId="17" fillId="0" borderId="46" xfId="2" applyFont="1" applyBorder="1" applyAlignment="1">
      <alignment horizontal="center" vertical="center" wrapText="1"/>
    </xf>
    <xf numFmtId="178" fontId="18" fillId="0" borderId="26" xfId="2" applyNumberFormat="1" applyFont="1" applyBorder="1" applyAlignment="1">
      <alignment horizontal="center" vertical="center"/>
    </xf>
    <xf numFmtId="0" fontId="17" fillId="0" borderId="35" xfId="1" applyFont="1" applyBorder="1" applyAlignment="1">
      <alignment horizontal="center" vertical="center"/>
    </xf>
    <xf numFmtId="0" fontId="18" fillId="2" borderId="26" xfId="1" applyFont="1" applyFill="1" applyBorder="1" applyAlignment="1">
      <alignment horizontal="center" vertical="center"/>
    </xf>
    <xf numFmtId="0" fontId="18" fillId="2" borderId="27" xfId="1" applyFont="1" applyFill="1" applyBorder="1" applyAlignment="1">
      <alignment horizontal="center" vertical="center"/>
    </xf>
    <xf numFmtId="177" fontId="18" fillId="2" borderId="27" xfId="1" applyNumberFormat="1" applyFont="1" applyFill="1" applyBorder="1">
      <alignment vertical="center"/>
    </xf>
    <xf numFmtId="177" fontId="18" fillId="2" borderId="26" xfId="1" applyNumberFormat="1" applyFont="1" applyFill="1" applyBorder="1">
      <alignment vertical="center"/>
    </xf>
    <xf numFmtId="177" fontId="18" fillId="2" borderId="28" xfId="1" applyNumberFormat="1" applyFont="1" applyFill="1" applyBorder="1">
      <alignment vertical="center"/>
    </xf>
    <xf numFmtId="177" fontId="18" fillId="2" borderId="30" xfId="1" applyNumberFormat="1" applyFont="1" applyFill="1" applyBorder="1">
      <alignment vertical="center"/>
    </xf>
    <xf numFmtId="177" fontId="18" fillId="0" borderId="44" xfId="3" applyNumberFormat="1" applyFont="1" applyFill="1" applyBorder="1" applyAlignment="1">
      <alignment horizontal="right" vertical="center"/>
    </xf>
    <xf numFmtId="0" fontId="18" fillId="0" borderId="50" xfId="1" applyFont="1" applyBorder="1" applyAlignment="1">
      <alignment horizontal="center" vertical="center"/>
    </xf>
    <xf numFmtId="0" fontId="17" fillId="0" borderId="12" xfId="1" applyFont="1" applyBorder="1" applyAlignment="1">
      <alignment horizontal="center" vertical="center"/>
    </xf>
    <xf numFmtId="0" fontId="18" fillId="0" borderId="13" xfId="1" applyFont="1" applyBorder="1" applyAlignment="1">
      <alignment horizontal="center" vertical="center"/>
    </xf>
    <xf numFmtId="0" fontId="18" fillId="0" borderId="51" xfId="1" applyFont="1" applyBorder="1" applyAlignment="1">
      <alignment horizontal="center" vertical="center"/>
    </xf>
    <xf numFmtId="177" fontId="18" fillId="0" borderId="51" xfId="1" applyNumberFormat="1" applyFont="1" applyBorder="1">
      <alignment vertical="center"/>
    </xf>
    <xf numFmtId="177" fontId="18" fillId="0" borderId="52" xfId="1" applyNumberFormat="1" applyFont="1" applyBorder="1">
      <alignment vertical="center"/>
    </xf>
    <xf numFmtId="177" fontId="18" fillId="0" borderId="53" xfId="1" applyNumberFormat="1" applyFont="1" applyBorder="1">
      <alignment vertical="center"/>
    </xf>
    <xf numFmtId="177" fontId="18" fillId="0" borderId="54" xfId="1" applyNumberFormat="1" applyFont="1" applyBorder="1">
      <alignment vertical="center"/>
    </xf>
    <xf numFmtId="177" fontId="18" fillId="0" borderId="73" xfId="1" applyNumberFormat="1" applyFont="1" applyBorder="1">
      <alignment vertical="center"/>
    </xf>
    <xf numFmtId="186" fontId="18" fillId="0" borderId="53" xfId="5" applyNumberFormat="1" applyFont="1" applyFill="1" applyBorder="1">
      <alignment vertical="center"/>
    </xf>
    <xf numFmtId="0" fontId="17" fillId="0" borderId="47" xfId="4" applyFont="1" applyBorder="1">
      <alignment vertical="center"/>
    </xf>
    <xf numFmtId="0" fontId="17" fillId="0" borderId="0" xfId="4" applyFont="1">
      <alignment vertical="center"/>
    </xf>
    <xf numFmtId="0" fontId="17" fillId="0" borderId="0" xfId="4" applyFont="1" applyAlignment="1">
      <alignment horizontal="center" vertical="center"/>
    </xf>
    <xf numFmtId="41" fontId="17" fillId="0" borderId="0" xfId="3" applyFont="1" applyFill="1" applyBorder="1">
      <alignment vertical="center"/>
    </xf>
    <xf numFmtId="177" fontId="17" fillId="0" borderId="0" xfId="4" applyNumberFormat="1" applyFont="1" applyAlignment="1">
      <alignment horizontal="center" vertical="center"/>
    </xf>
    <xf numFmtId="41" fontId="17" fillId="2" borderId="5" xfId="3" applyFont="1" applyFill="1" applyBorder="1" applyAlignment="1">
      <alignment horizontal="center" vertical="center"/>
    </xf>
    <xf numFmtId="41" fontId="17" fillId="2" borderId="39" xfId="3" applyFont="1" applyFill="1" applyBorder="1" applyAlignment="1">
      <alignment horizontal="center" vertical="center"/>
    </xf>
    <xf numFmtId="177" fontId="17" fillId="2" borderId="37" xfId="3" applyNumberFormat="1" applyFont="1" applyFill="1" applyBorder="1" applyAlignment="1">
      <alignment horizontal="right" vertical="center"/>
    </xf>
    <xf numFmtId="179" fontId="18" fillId="0" borderId="35" xfId="3" applyNumberFormat="1" applyFont="1" applyFill="1" applyBorder="1" applyAlignment="1">
      <alignment vertical="center" wrapText="1"/>
    </xf>
    <xf numFmtId="0" fontId="18" fillId="0" borderId="46" xfId="4" applyFont="1" applyBorder="1">
      <alignment vertical="center"/>
    </xf>
    <xf numFmtId="41" fontId="18" fillId="0" borderId="26" xfId="3" applyFont="1" applyFill="1" applyBorder="1" applyAlignment="1">
      <alignment horizontal="center" vertical="center"/>
    </xf>
    <xf numFmtId="41" fontId="17" fillId="0" borderId="45" xfId="3" applyFont="1" applyFill="1" applyBorder="1" applyAlignment="1">
      <alignment horizontal="center" vertical="top"/>
    </xf>
    <xf numFmtId="180" fontId="18" fillId="0" borderId="47" xfId="4" applyNumberFormat="1" applyFont="1" applyBorder="1">
      <alignment vertical="center"/>
    </xf>
    <xf numFmtId="41" fontId="18" fillId="2" borderId="36" xfId="3" applyFont="1" applyFill="1" applyBorder="1" applyAlignment="1">
      <alignment horizontal="center" vertical="center"/>
    </xf>
    <xf numFmtId="0" fontId="18" fillId="0" borderId="47" xfId="1" applyFont="1" applyBorder="1">
      <alignment vertical="center"/>
    </xf>
    <xf numFmtId="0" fontId="18" fillId="0" borderId="0" xfId="1" applyFont="1">
      <alignment vertical="center"/>
    </xf>
    <xf numFmtId="41" fontId="19" fillId="0" borderId="0" xfId="3" applyFont="1" applyFill="1" applyBorder="1" applyAlignment="1">
      <alignment horizontal="center" vertical="center"/>
    </xf>
    <xf numFmtId="41" fontId="18" fillId="0" borderId="48" xfId="3" applyFont="1" applyFill="1" applyBorder="1" applyAlignment="1">
      <alignment horizontal="center" vertical="center"/>
    </xf>
    <xf numFmtId="41" fontId="18" fillId="0" borderId="49" xfId="3" applyFont="1" applyFill="1" applyBorder="1" applyAlignment="1">
      <alignment horizontal="center" vertical="center" wrapText="1"/>
    </xf>
    <xf numFmtId="177" fontId="18" fillId="0" borderId="28" xfId="3" applyNumberFormat="1" applyFont="1" applyFill="1" applyBorder="1" applyAlignment="1">
      <alignment horizontal="right" vertical="center" wrapText="1"/>
    </xf>
    <xf numFmtId="41" fontId="18" fillId="0" borderId="49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vertical="center"/>
    </xf>
    <xf numFmtId="0" fontId="20" fillId="0" borderId="0" xfId="1" applyFont="1">
      <alignment vertical="center"/>
    </xf>
    <xf numFmtId="179" fontId="18" fillId="0" borderId="40" xfId="3" applyNumberFormat="1" applyFont="1" applyFill="1" applyBorder="1" applyAlignment="1">
      <alignment horizontal="center" vertical="center"/>
    </xf>
    <xf numFmtId="41" fontId="17" fillId="0" borderId="47" xfId="3" applyFont="1" applyFill="1" applyBorder="1" applyAlignment="1">
      <alignment horizontal="center" vertical="top"/>
    </xf>
    <xf numFmtId="41" fontId="18" fillId="0" borderId="0" xfId="3" applyFont="1" applyFill="1" applyBorder="1">
      <alignment vertical="center"/>
    </xf>
    <xf numFmtId="41" fontId="17" fillId="2" borderId="48" xfId="3" applyFont="1" applyFill="1" applyBorder="1" applyAlignment="1">
      <alignment horizontal="center" vertical="center"/>
    </xf>
    <xf numFmtId="177" fontId="17" fillId="2" borderId="28" xfId="3" applyNumberFormat="1" applyFont="1" applyFill="1" applyBorder="1" applyAlignment="1">
      <alignment horizontal="right" vertical="center"/>
    </xf>
    <xf numFmtId="41" fontId="18" fillId="2" borderId="48" xfId="3" applyFont="1" applyFill="1" applyBorder="1" applyAlignment="1">
      <alignment horizontal="center" vertical="center"/>
    </xf>
    <xf numFmtId="179" fontId="18" fillId="0" borderId="46" xfId="3" applyNumberFormat="1" applyFont="1" applyFill="1" applyBorder="1" applyAlignment="1">
      <alignment horizontal="center" vertical="top"/>
    </xf>
    <xf numFmtId="41" fontId="17" fillId="2" borderId="30" xfId="3" applyFont="1" applyFill="1" applyBorder="1" applyAlignment="1">
      <alignment horizontal="center" vertical="center"/>
    </xf>
    <xf numFmtId="0" fontId="18" fillId="0" borderId="16" xfId="1" applyFont="1" applyBorder="1">
      <alignment vertical="center"/>
    </xf>
    <xf numFmtId="0" fontId="18" fillId="0" borderId="56" xfId="1" applyFont="1" applyBorder="1">
      <alignment vertical="center"/>
    </xf>
    <xf numFmtId="41" fontId="18" fillId="0" borderId="56" xfId="3" applyFont="1" applyFill="1" applyBorder="1">
      <alignment vertical="center"/>
    </xf>
    <xf numFmtId="179" fontId="18" fillId="0" borderId="12" xfId="3" applyNumberFormat="1" applyFont="1" applyFill="1" applyBorder="1" applyAlignment="1">
      <alignment horizontal="center" vertical="top"/>
    </xf>
    <xf numFmtId="179" fontId="18" fillId="0" borderId="13" xfId="3" applyNumberFormat="1" applyFont="1" applyFill="1" applyBorder="1" applyAlignment="1">
      <alignment horizontal="center" vertical="center"/>
    </xf>
    <xf numFmtId="41" fontId="18" fillId="0" borderId="17" xfId="3" applyFont="1" applyFill="1" applyBorder="1" applyAlignment="1">
      <alignment horizontal="center" vertical="center"/>
    </xf>
    <xf numFmtId="177" fontId="18" fillId="0" borderId="15" xfId="3" applyNumberFormat="1" applyFont="1" applyFill="1" applyBorder="1" applyAlignment="1">
      <alignment horizontal="right" vertical="center"/>
    </xf>
    <xf numFmtId="186" fontId="18" fillId="0" borderId="53" xfId="5" applyNumberFormat="1" applyFont="1" applyFill="1" applyBorder="1" applyAlignment="1">
      <alignment horizontal="right" vertical="center"/>
    </xf>
    <xf numFmtId="0" fontId="21" fillId="3" borderId="59" xfId="1" applyFont="1" applyFill="1" applyBorder="1" applyAlignment="1" applyProtection="1">
      <alignment horizontal="center" vertical="center" wrapText="1"/>
      <protection locked="0"/>
    </xf>
    <xf numFmtId="0" fontId="21" fillId="3" borderId="50" xfId="1" applyFont="1" applyFill="1" applyBorder="1" applyAlignment="1" applyProtection="1">
      <alignment horizontal="center" vertical="center" wrapText="1"/>
      <protection locked="0"/>
    </xf>
    <xf numFmtId="0" fontId="21" fillId="3" borderId="77" xfId="1" applyFont="1" applyFill="1" applyBorder="1" applyAlignment="1" applyProtection="1">
      <alignment horizontal="center" vertical="center" wrapText="1"/>
      <protection locked="0"/>
    </xf>
    <xf numFmtId="0" fontId="21" fillId="3" borderId="76" xfId="1" applyFont="1" applyFill="1" applyBorder="1" applyAlignment="1" applyProtection="1">
      <alignment horizontal="center" vertical="center" wrapText="1"/>
      <protection locked="0"/>
    </xf>
    <xf numFmtId="176" fontId="22" fillId="0" borderId="48" xfId="3" applyNumberFormat="1" applyFont="1" applyFill="1" applyBorder="1" applyAlignment="1">
      <alignment vertical="center"/>
    </xf>
    <xf numFmtId="178" fontId="18" fillId="0" borderId="40" xfId="2" applyNumberFormat="1" applyFont="1" applyBorder="1" applyAlignment="1">
      <alignment horizontal="center" vertical="center"/>
    </xf>
    <xf numFmtId="0" fontId="18" fillId="0" borderId="27" xfId="2" applyFont="1" applyBorder="1" applyAlignment="1">
      <alignment horizontal="center" vertical="center"/>
    </xf>
    <xf numFmtId="0" fontId="18" fillId="0" borderId="36" xfId="2" applyFont="1" applyBorder="1" applyAlignment="1">
      <alignment horizontal="center" vertical="center"/>
    </xf>
    <xf numFmtId="41" fontId="17" fillId="0" borderId="35" xfId="3" applyFont="1" applyFill="1" applyBorder="1" applyAlignment="1">
      <alignment horizontal="center" vertical="top"/>
    </xf>
    <xf numFmtId="0" fontId="17" fillId="0" borderId="0" xfId="4" applyFont="1" applyAlignment="1">
      <alignment horizontal="center" vertical="center"/>
    </xf>
    <xf numFmtId="41" fontId="19" fillId="0" borderId="0" xfId="3" applyFont="1" applyFill="1" applyBorder="1" applyAlignment="1">
      <alignment horizontal="center" vertical="center"/>
    </xf>
    <xf numFmtId="0" fontId="17" fillId="0" borderId="47" xfId="4" applyFont="1" applyBorder="1" applyAlignment="1">
      <alignment horizontal="center" vertical="center"/>
    </xf>
    <xf numFmtId="41" fontId="17" fillId="0" borderId="0" xfId="3" applyFont="1" applyFill="1" applyBorder="1" applyAlignment="1">
      <alignment horizontal="center" vertical="center"/>
    </xf>
    <xf numFmtId="0" fontId="17" fillId="0" borderId="35" xfId="2" applyFont="1" applyBorder="1" applyAlignment="1">
      <alignment horizontal="center" vertical="top" wrapText="1"/>
    </xf>
    <xf numFmtId="41" fontId="19" fillId="0" borderId="0" xfId="3" applyFont="1" applyFill="1" applyBorder="1" applyAlignment="1">
      <alignment horizontal="center" vertical="center"/>
    </xf>
    <xf numFmtId="0" fontId="18" fillId="0" borderId="3" xfId="2" applyFont="1" applyBorder="1" applyAlignment="1">
      <alignment horizontal="center" vertical="center" shrinkToFit="1"/>
    </xf>
    <xf numFmtId="179" fontId="18" fillId="0" borderId="47" xfId="3" applyNumberFormat="1" applyFont="1" applyFill="1" applyBorder="1" applyAlignment="1">
      <alignment horizontal="center" vertical="top"/>
    </xf>
    <xf numFmtId="41" fontId="18" fillId="0" borderId="48" xfId="3" applyFont="1" applyFill="1" applyBorder="1" applyAlignment="1">
      <alignment horizontal="center" vertical="center" wrapText="1"/>
    </xf>
    <xf numFmtId="177" fontId="18" fillId="3" borderId="28" xfId="3" applyNumberFormat="1" applyFont="1" applyFill="1" applyBorder="1" applyAlignment="1">
      <alignment horizontal="right" vertical="center"/>
    </xf>
    <xf numFmtId="186" fontId="18" fillId="3" borderId="28" xfId="5" applyNumberFormat="1" applyFont="1" applyFill="1" applyBorder="1" applyAlignment="1">
      <alignment horizontal="right" vertical="center"/>
    </xf>
    <xf numFmtId="41" fontId="17" fillId="0" borderId="46" xfId="3" applyFont="1" applyFill="1" applyBorder="1" applyAlignment="1">
      <alignment horizontal="center" vertical="top"/>
    </xf>
    <xf numFmtId="0" fontId="23" fillId="0" borderId="0" xfId="1" applyFont="1" applyBorder="1" applyAlignment="1">
      <alignment horizontal="center" vertical="center"/>
    </xf>
    <xf numFmtId="49" fontId="17" fillId="2" borderId="44" xfId="3" applyNumberFormat="1" applyFont="1" applyFill="1" applyBorder="1" applyAlignment="1">
      <alignment horizontal="center" vertical="center" wrapText="1"/>
    </xf>
    <xf numFmtId="49" fontId="17" fillId="2" borderId="15" xfId="3" applyNumberFormat="1" applyFont="1" applyFill="1" applyBorder="1" applyAlignment="1">
      <alignment horizontal="center" vertical="center" wrapText="1"/>
    </xf>
    <xf numFmtId="49" fontId="17" fillId="2" borderId="38" xfId="3" applyNumberFormat="1" applyFont="1" applyFill="1" applyBorder="1" applyAlignment="1">
      <alignment horizontal="center" vertical="center"/>
    </xf>
    <xf numFmtId="49" fontId="17" fillId="2" borderId="49" xfId="3" applyNumberFormat="1" applyFont="1" applyFill="1" applyBorder="1" applyAlignment="1">
      <alignment horizontal="center" vertical="center"/>
    </xf>
    <xf numFmtId="49" fontId="17" fillId="2" borderId="9" xfId="3" applyNumberFormat="1" applyFont="1" applyFill="1" applyBorder="1" applyAlignment="1">
      <alignment horizontal="center" vertical="center" wrapText="1"/>
    </xf>
    <xf numFmtId="49" fontId="17" fillId="2" borderId="15" xfId="3" applyNumberFormat="1" applyFont="1" applyFill="1" applyBorder="1" applyAlignment="1">
      <alignment horizontal="center" vertical="center"/>
    </xf>
    <xf numFmtId="0" fontId="17" fillId="0" borderId="6" xfId="2" applyFont="1" applyBorder="1" applyAlignment="1">
      <alignment horizontal="center" vertical="top" wrapText="1"/>
    </xf>
    <xf numFmtId="0" fontId="17" fillId="0" borderId="35" xfId="2" applyFont="1" applyBorder="1" applyAlignment="1">
      <alignment horizontal="center" vertical="top" wrapText="1"/>
    </xf>
    <xf numFmtId="176" fontId="14" fillId="0" borderId="0" xfId="2" applyNumberFormat="1" applyFont="1" applyAlignment="1">
      <alignment horizontal="center" vertical="center"/>
    </xf>
    <xf numFmtId="0" fontId="15" fillId="0" borderId="56" xfId="1" applyFont="1" applyBorder="1" applyAlignment="1">
      <alignment horizontal="right" vertical="center"/>
    </xf>
    <xf numFmtId="0" fontId="17" fillId="2" borderId="6" xfId="2" applyFont="1" applyFill="1" applyBorder="1" applyAlignment="1">
      <alignment horizontal="center" vertical="center"/>
    </xf>
    <xf numFmtId="0" fontId="17" fillId="2" borderId="12" xfId="2" applyFont="1" applyFill="1" applyBorder="1" applyAlignment="1">
      <alignment horizontal="center" vertical="center"/>
    </xf>
    <xf numFmtId="0" fontId="17" fillId="2" borderId="7" xfId="2" applyFont="1" applyFill="1" applyBorder="1" applyAlignment="1">
      <alignment horizontal="center" vertical="center"/>
    </xf>
    <xf numFmtId="0" fontId="17" fillId="2" borderId="13" xfId="2" applyFont="1" applyFill="1" applyBorder="1" applyAlignment="1">
      <alignment horizontal="center" vertical="center"/>
    </xf>
    <xf numFmtId="0" fontId="17" fillId="2" borderId="8" xfId="2" applyFont="1" applyFill="1" applyBorder="1" applyAlignment="1">
      <alignment horizontal="center" vertical="center"/>
    </xf>
    <xf numFmtId="0" fontId="17" fillId="2" borderId="14" xfId="2" applyFont="1" applyFill="1" applyBorder="1" applyAlignment="1">
      <alignment horizontal="center" vertical="center"/>
    </xf>
    <xf numFmtId="0" fontId="17" fillId="2" borderId="9" xfId="2" applyFont="1" applyFill="1" applyBorder="1" applyAlignment="1">
      <alignment horizontal="center" vertical="center"/>
    </xf>
    <xf numFmtId="0" fontId="17" fillId="2" borderId="15" xfId="2" applyFont="1" applyFill="1" applyBorder="1" applyAlignment="1">
      <alignment horizontal="center" vertical="center"/>
    </xf>
    <xf numFmtId="0" fontId="17" fillId="2" borderId="11" xfId="2" applyFont="1" applyFill="1" applyBorder="1" applyAlignment="1">
      <alignment horizontal="center" vertical="center" wrapText="1"/>
    </xf>
    <xf numFmtId="0" fontId="17" fillId="2" borderId="17" xfId="2" applyFont="1" applyFill="1" applyBorder="1" applyAlignment="1">
      <alignment horizontal="center" vertical="center"/>
    </xf>
    <xf numFmtId="49" fontId="17" fillId="2" borderId="9" xfId="3" applyNumberFormat="1" applyFont="1" applyFill="1" applyBorder="1" applyAlignment="1">
      <alignment horizontal="center" vertical="center"/>
    </xf>
    <xf numFmtId="0" fontId="17" fillId="0" borderId="45" xfId="2" applyFont="1" applyBorder="1" applyAlignment="1">
      <alignment horizontal="center" vertical="top" wrapText="1"/>
    </xf>
    <xf numFmtId="41" fontId="17" fillId="2" borderId="7" xfId="3" applyFont="1" applyFill="1" applyBorder="1" applyAlignment="1">
      <alignment horizontal="center" vertical="center"/>
    </xf>
    <xf numFmtId="41" fontId="17" fillId="2" borderId="13" xfId="3" applyFont="1" applyFill="1" applyBorder="1" applyAlignment="1">
      <alignment horizontal="center" vertical="center"/>
    </xf>
    <xf numFmtId="41" fontId="17" fillId="2" borderId="11" xfId="3" applyFont="1" applyFill="1" applyBorder="1" applyAlignment="1">
      <alignment horizontal="center" vertical="center"/>
    </xf>
    <xf numFmtId="41" fontId="17" fillId="2" borderId="17" xfId="3" applyFont="1" applyFill="1" applyBorder="1" applyAlignment="1">
      <alignment horizontal="center" vertical="center"/>
    </xf>
    <xf numFmtId="0" fontId="17" fillId="2" borderId="18" xfId="2" applyFont="1" applyFill="1" applyBorder="1" applyAlignment="1">
      <alignment horizontal="center" vertical="center"/>
    </xf>
    <xf numFmtId="0" fontId="17" fillId="2" borderId="19" xfId="2" applyFont="1" applyFill="1" applyBorder="1" applyAlignment="1">
      <alignment horizontal="center" vertical="center"/>
    </xf>
    <xf numFmtId="0" fontId="17" fillId="2" borderId="20" xfId="2" applyFont="1" applyFill="1" applyBorder="1" applyAlignment="1">
      <alignment horizontal="center" vertical="center"/>
    </xf>
    <xf numFmtId="0" fontId="17" fillId="2" borderId="65" xfId="2" applyFont="1" applyFill="1" applyBorder="1" applyAlignment="1">
      <alignment horizontal="center" vertical="center" wrapText="1"/>
    </xf>
    <xf numFmtId="0" fontId="17" fillId="2" borderId="15" xfId="2" applyFont="1" applyFill="1" applyBorder="1" applyAlignment="1">
      <alignment horizontal="center" vertical="center" wrapText="1"/>
    </xf>
    <xf numFmtId="41" fontId="17" fillId="2" borderId="6" xfId="3" applyFont="1" applyFill="1" applyBorder="1" applyAlignment="1">
      <alignment horizontal="center" vertical="center"/>
    </xf>
    <xf numFmtId="41" fontId="17" fillId="2" borderId="12" xfId="3" applyFont="1" applyFill="1" applyBorder="1" applyAlignment="1">
      <alignment horizontal="center" vertical="center"/>
    </xf>
    <xf numFmtId="0" fontId="17" fillId="2" borderId="29" xfId="2" applyFont="1" applyFill="1" applyBorder="1" applyAlignment="1">
      <alignment horizontal="center" vertical="center"/>
    </xf>
    <xf numFmtId="0" fontId="17" fillId="2" borderId="48" xfId="2" applyFont="1" applyFill="1" applyBorder="1" applyAlignment="1">
      <alignment horizontal="center" vertical="center"/>
    </xf>
    <xf numFmtId="41" fontId="17" fillId="0" borderId="35" xfId="3" applyFont="1" applyFill="1" applyBorder="1" applyAlignment="1">
      <alignment horizontal="center" vertical="top"/>
    </xf>
    <xf numFmtId="41" fontId="17" fillId="0" borderId="45" xfId="3" applyFont="1" applyFill="1" applyBorder="1" applyAlignment="1">
      <alignment horizontal="center" vertical="top" wrapText="1"/>
    </xf>
    <xf numFmtId="41" fontId="18" fillId="2" borderId="36" xfId="3" applyFont="1" applyFill="1" applyBorder="1" applyAlignment="1">
      <alignment horizontal="center" vertical="center" wrapText="1"/>
    </xf>
    <xf numFmtId="41" fontId="18" fillId="2" borderId="26" xfId="3" applyFont="1" applyFill="1" applyBorder="1" applyAlignment="1">
      <alignment horizontal="center" vertical="center"/>
    </xf>
    <xf numFmtId="0" fontId="17" fillId="2" borderId="11" xfId="2" applyFont="1" applyFill="1" applyBorder="1" applyAlignment="1">
      <alignment horizontal="center" vertical="center"/>
    </xf>
    <xf numFmtId="41" fontId="17" fillId="0" borderId="45" xfId="3" applyFont="1" applyFill="1" applyBorder="1" applyAlignment="1">
      <alignment horizontal="center" vertical="center" wrapText="1"/>
    </xf>
    <xf numFmtId="41" fontId="17" fillId="0" borderId="35" xfId="3" applyFont="1" applyFill="1" applyBorder="1" applyAlignment="1">
      <alignment horizontal="center" vertical="center" wrapText="1"/>
    </xf>
    <xf numFmtId="41" fontId="17" fillId="2" borderId="22" xfId="3" applyFont="1" applyFill="1" applyBorder="1" applyAlignment="1">
      <alignment horizontal="center" vertical="center"/>
    </xf>
    <xf numFmtId="41" fontId="17" fillId="2" borderId="24" xfId="3" applyFont="1" applyFill="1" applyBorder="1" applyAlignment="1">
      <alignment horizontal="center" vertical="center"/>
    </xf>
    <xf numFmtId="41" fontId="17" fillId="2" borderId="25" xfId="3" applyFont="1" applyFill="1" applyBorder="1" applyAlignment="1">
      <alignment horizontal="center" vertical="center"/>
    </xf>
    <xf numFmtId="176" fontId="14" fillId="0" borderId="0" xfId="1" applyNumberFormat="1" applyFont="1" applyAlignment="1">
      <alignment horizontal="center"/>
    </xf>
    <xf numFmtId="0" fontId="21" fillId="3" borderId="7" xfId="1" applyFont="1" applyFill="1" applyBorder="1" applyAlignment="1" applyProtection="1">
      <alignment horizontal="center" vertical="center" wrapText="1"/>
      <protection locked="0"/>
    </xf>
    <xf numFmtId="0" fontId="21" fillId="3" borderId="81" xfId="1" applyFont="1" applyFill="1" applyBorder="1" applyAlignment="1" applyProtection="1">
      <alignment horizontal="center" vertical="center" wrapText="1"/>
      <protection locked="0"/>
    </xf>
    <xf numFmtId="0" fontId="21" fillId="3" borderId="33" xfId="1" applyFont="1" applyFill="1" applyBorder="1" applyAlignment="1" applyProtection="1">
      <alignment horizontal="center" vertical="center" wrapText="1"/>
      <protection locked="0"/>
    </xf>
    <xf numFmtId="0" fontId="21" fillId="3" borderId="74" xfId="1" applyFont="1" applyFill="1" applyBorder="1" applyAlignment="1" applyProtection="1">
      <alignment horizontal="center" vertical="center" wrapText="1"/>
      <protection locked="0"/>
    </xf>
    <xf numFmtId="181" fontId="21" fillId="3" borderId="8" xfId="1" applyNumberFormat="1" applyFont="1" applyFill="1" applyBorder="1" applyAlignment="1">
      <alignment horizontal="center" vertical="center"/>
    </xf>
    <xf numFmtId="181" fontId="21" fillId="3" borderId="57" xfId="1" applyNumberFormat="1" applyFont="1" applyFill="1" applyBorder="1" applyAlignment="1">
      <alignment horizontal="center" vertical="center"/>
    </xf>
    <xf numFmtId="181" fontId="21" fillId="3" borderId="78" xfId="1" applyNumberFormat="1" applyFont="1" applyFill="1" applyBorder="1" applyAlignment="1">
      <alignment horizontal="center" vertical="center"/>
    </xf>
    <xf numFmtId="181" fontId="21" fillId="3" borderId="80" xfId="1" applyNumberFormat="1" applyFont="1" applyFill="1" applyBorder="1" applyAlignment="1">
      <alignment horizontal="center" vertical="center"/>
    </xf>
    <xf numFmtId="181" fontId="21" fillId="3" borderId="82" xfId="1" applyNumberFormat="1" applyFont="1" applyFill="1" applyBorder="1" applyAlignment="1">
      <alignment horizontal="center" vertical="center"/>
    </xf>
    <xf numFmtId="181" fontId="21" fillId="3" borderId="83" xfId="1" applyNumberFormat="1" applyFont="1" applyFill="1" applyBorder="1" applyAlignment="1">
      <alignment horizontal="center" vertical="center"/>
    </xf>
    <xf numFmtId="0" fontId="21" fillId="3" borderId="8" xfId="1" applyFont="1" applyFill="1" applyBorder="1" applyAlignment="1">
      <alignment horizontal="center" vertical="center"/>
    </xf>
    <xf numFmtId="0" fontId="21" fillId="3" borderId="57" xfId="1" applyFont="1" applyFill="1" applyBorder="1" applyAlignment="1">
      <alignment horizontal="center" vertical="center"/>
    </xf>
    <xf numFmtId="0" fontId="21" fillId="3" borderId="78" xfId="1" applyFont="1" applyFill="1" applyBorder="1" applyAlignment="1">
      <alignment horizontal="center" vertical="center"/>
    </xf>
    <xf numFmtId="0" fontId="21" fillId="3" borderId="80" xfId="1" applyFont="1" applyFill="1" applyBorder="1" applyAlignment="1">
      <alignment horizontal="center" vertical="center"/>
    </xf>
    <xf numFmtId="0" fontId="21" fillId="3" borderId="82" xfId="1" applyFont="1" applyFill="1" applyBorder="1" applyAlignment="1">
      <alignment horizontal="center" vertical="center"/>
    </xf>
    <xf numFmtId="0" fontId="21" fillId="3" borderId="83" xfId="1" applyFont="1" applyFill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21" fillId="3" borderId="10" xfId="1" applyFont="1" applyFill="1" applyBorder="1" applyAlignment="1">
      <alignment horizontal="center" vertical="center"/>
    </xf>
    <xf numFmtId="0" fontId="21" fillId="3" borderId="7" xfId="1" applyFont="1" applyFill="1" applyBorder="1" applyAlignment="1">
      <alignment horizontal="center" vertical="center"/>
    </xf>
    <xf numFmtId="0" fontId="21" fillId="3" borderId="59" xfId="1" applyFont="1" applyFill="1" applyBorder="1" applyAlignment="1">
      <alignment horizontal="center" vertical="center"/>
    </xf>
    <xf numFmtId="0" fontId="21" fillId="3" borderId="79" xfId="1" applyFont="1" applyFill="1" applyBorder="1" applyAlignment="1">
      <alignment horizontal="center" vertical="center"/>
    </xf>
    <xf numFmtId="0" fontId="21" fillId="3" borderId="81" xfId="1" applyFont="1" applyFill="1" applyBorder="1" applyAlignment="1">
      <alignment horizontal="center" vertical="center"/>
    </xf>
    <xf numFmtId="0" fontId="21" fillId="3" borderId="50" xfId="1" applyFont="1" applyFill="1" applyBorder="1" applyAlignment="1">
      <alignment horizontal="center" vertical="center"/>
    </xf>
    <xf numFmtId="0" fontId="22" fillId="0" borderId="60" xfId="1" applyFont="1" applyBorder="1" applyAlignment="1">
      <alignment horizontal="center" vertical="center"/>
    </xf>
    <xf numFmtId="0" fontId="22" fillId="0" borderId="61" xfId="1" applyFont="1" applyBorder="1" applyAlignment="1">
      <alignment horizontal="center" vertical="center"/>
    </xf>
    <xf numFmtId="177" fontId="21" fillId="5" borderId="62" xfId="3" applyNumberFormat="1" applyFont="1" applyFill="1" applyBorder="1" applyAlignment="1">
      <alignment horizontal="right" vertical="center"/>
    </xf>
    <xf numFmtId="177" fontId="21" fillId="6" borderId="62" xfId="3" applyNumberFormat="1" applyFont="1" applyFill="1" applyBorder="1" applyAlignment="1">
      <alignment horizontal="right" vertical="center"/>
    </xf>
    <xf numFmtId="177" fontId="21" fillId="0" borderId="63" xfId="3" applyNumberFormat="1" applyFont="1" applyFill="1" applyBorder="1" applyAlignment="1">
      <alignment horizontal="right" vertical="center"/>
    </xf>
    <xf numFmtId="186" fontId="21" fillId="0" borderId="63" xfId="5" applyNumberFormat="1" applyFont="1" applyFill="1" applyBorder="1" applyAlignment="1">
      <alignment horizontal="right" vertical="center"/>
    </xf>
    <xf numFmtId="182" fontId="22" fillId="0" borderId="63" xfId="1" applyNumberFormat="1" applyFont="1" applyBorder="1">
      <alignment vertical="center"/>
    </xf>
    <xf numFmtId="176" fontId="22" fillId="0" borderId="64" xfId="3" applyNumberFormat="1" applyFont="1" applyFill="1" applyBorder="1" applyAlignment="1">
      <alignment vertical="center"/>
    </xf>
    <xf numFmtId="0" fontId="24" fillId="0" borderId="66" xfId="1" applyFont="1" applyBorder="1">
      <alignment vertical="center"/>
    </xf>
    <xf numFmtId="0" fontId="24" fillId="0" borderId="5" xfId="1" applyFont="1" applyBorder="1">
      <alignment vertical="center"/>
    </xf>
    <xf numFmtId="0" fontId="24" fillId="0" borderId="2" xfId="1" applyFont="1" applyBorder="1">
      <alignment vertical="center"/>
    </xf>
    <xf numFmtId="177" fontId="25" fillId="5" borderId="26" xfId="3" applyNumberFormat="1" applyFont="1" applyFill="1" applyBorder="1" applyAlignment="1">
      <alignment horizontal="right" vertical="center"/>
    </xf>
    <xf numFmtId="177" fontId="25" fillId="6" borderId="26" xfId="3" applyNumberFormat="1" applyFont="1" applyFill="1" applyBorder="1" applyAlignment="1">
      <alignment horizontal="right" vertical="center"/>
    </xf>
    <xf numFmtId="177" fontId="26" fillId="6" borderId="26" xfId="3" applyNumberFormat="1" applyFont="1" applyFill="1" applyBorder="1" applyAlignment="1">
      <alignment horizontal="right" vertical="center"/>
    </xf>
    <xf numFmtId="177" fontId="26" fillId="6" borderId="27" xfId="3" applyNumberFormat="1" applyFont="1" applyFill="1" applyBorder="1" applyAlignment="1">
      <alignment horizontal="right" vertical="center"/>
    </xf>
    <xf numFmtId="177" fontId="25" fillId="6" borderId="27" xfId="3" applyNumberFormat="1" applyFont="1" applyFill="1" applyBorder="1" applyAlignment="1">
      <alignment horizontal="right" vertical="center"/>
    </xf>
    <xf numFmtId="177" fontId="21" fillId="6" borderId="27" xfId="3" applyNumberFormat="1" applyFont="1" applyFill="1" applyBorder="1" applyAlignment="1">
      <alignment horizontal="right" vertical="center"/>
    </xf>
    <xf numFmtId="177" fontId="21" fillId="0" borderId="27" xfId="3" applyNumberFormat="1" applyFont="1" applyFill="1" applyBorder="1" applyAlignment="1">
      <alignment horizontal="right" vertical="center"/>
    </xf>
    <xf numFmtId="186" fontId="21" fillId="0" borderId="27" xfId="5" applyNumberFormat="1" applyFont="1" applyFill="1" applyBorder="1" applyAlignment="1">
      <alignment horizontal="right" vertical="center"/>
    </xf>
    <xf numFmtId="181" fontId="22" fillId="0" borderId="27" xfId="1" applyNumberFormat="1" applyFont="1" applyBorder="1">
      <alignment vertical="center"/>
    </xf>
    <xf numFmtId="0" fontId="22" fillId="0" borderId="47" xfId="1" applyFont="1" applyBorder="1" applyAlignment="1">
      <alignment vertical="center" wrapText="1"/>
    </xf>
    <xf numFmtId="0" fontId="22" fillId="0" borderId="26" xfId="1" applyFont="1" applyBorder="1">
      <alignment vertical="center"/>
    </xf>
    <xf numFmtId="0" fontId="22" fillId="0" borderId="27" xfId="1" applyFont="1" applyBorder="1">
      <alignment vertical="center"/>
    </xf>
    <xf numFmtId="177" fontId="22" fillId="5" borderId="26" xfId="3" applyNumberFormat="1" applyFont="1" applyFill="1" applyBorder="1" applyAlignment="1">
      <alignment horizontal="right" vertical="center"/>
    </xf>
    <xf numFmtId="177" fontId="22" fillId="6" borderId="26" xfId="3" applyNumberFormat="1" applyFont="1" applyFill="1" applyBorder="1" applyAlignment="1">
      <alignment horizontal="right" vertical="center"/>
    </xf>
    <xf numFmtId="177" fontId="22" fillId="6" borderId="27" xfId="3" applyNumberFormat="1" applyFont="1" applyFill="1" applyBorder="1" applyAlignment="1">
      <alignment horizontal="right" vertical="center"/>
    </xf>
    <xf numFmtId="0" fontId="22" fillId="0" borderId="2" xfId="1" applyFont="1" applyBorder="1" applyAlignment="1"/>
    <xf numFmtId="176" fontId="22" fillId="0" borderId="49" xfId="3" applyNumberFormat="1" applyFont="1" applyFill="1" applyBorder="1" applyAlignment="1"/>
    <xf numFmtId="0" fontId="22" fillId="0" borderId="50" xfId="1" applyFont="1" applyBorder="1">
      <alignment vertical="center"/>
    </xf>
    <xf numFmtId="0" fontId="22" fillId="0" borderId="27" xfId="1" applyFont="1" applyBorder="1">
      <alignment vertical="center"/>
    </xf>
    <xf numFmtId="0" fontId="22" fillId="0" borderId="40" xfId="1" applyFont="1" applyBorder="1">
      <alignment vertical="center"/>
    </xf>
    <xf numFmtId="0" fontId="22" fillId="0" borderId="36" xfId="1" applyFont="1" applyBorder="1">
      <alignment vertical="center"/>
    </xf>
    <xf numFmtId="177" fontId="22" fillId="5" borderId="27" xfId="3" applyNumberFormat="1" applyFont="1" applyFill="1" applyBorder="1" applyAlignment="1">
      <alignment horizontal="right" vertical="center"/>
    </xf>
    <xf numFmtId="177" fontId="22" fillId="0" borderId="27" xfId="3" applyNumberFormat="1" applyFont="1" applyFill="1" applyBorder="1" applyAlignment="1">
      <alignment horizontal="right" vertical="center"/>
    </xf>
    <xf numFmtId="0" fontId="22" fillId="0" borderId="0" xfId="1" applyFont="1" applyBorder="1">
      <alignment vertical="center"/>
    </xf>
    <xf numFmtId="177" fontId="22" fillId="5" borderId="50" xfId="3" applyNumberFormat="1" applyFont="1" applyFill="1" applyBorder="1" applyAlignment="1">
      <alignment horizontal="right" vertical="center"/>
    </xf>
    <xf numFmtId="177" fontId="22" fillId="6" borderId="50" xfId="3" applyNumberFormat="1" applyFont="1" applyFill="1" applyBorder="1" applyAlignment="1">
      <alignment horizontal="right" vertical="center"/>
    </xf>
    <xf numFmtId="177" fontId="22" fillId="0" borderId="42" xfId="3" applyNumberFormat="1" applyFont="1" applyFill="1" applyBorder="1" applyAlignment="1">
      <alignment horizontal="right" vertical="center"/>
    </xf>
    <xf numFmtId="186" fontId="21" fillId="0" borderId="36" xfId="5" applyNumberFormat="1" applyFont="1" applyFill="1" applyBorder="1" applyAlignment="1">
      <alignment horizontal="right" vertical="center"/>
    </xf>
    <xf numFmtId="181" fontId="22" fillId="0" borderId="42" xfId="1" applyNumberFormat="1" applyFont="1" applyBorder="1">
      <alignment vertical="center"/>
    </xf>
    <xf numFmtId="176" fontId="22" fillId="0" borderId="67" xfId="3" applyNumberFormat="1" applyFont="1" applyFill="1" applyBorder="1" applyAlignment="1">
      <alignment vertical="center"/>
    </xf>
    <xf numFmtId="177" fontId="22" fillId="0" borderId="50" xfId="3" applyNumberFormat="1" applyFont="1" applyFill="1" applyBorder="1" applyAlignment="1">
      <alignment horizontal="right" vertical="center"/>
    </xf>
    <xf numFmtId="186" fontId="21" fillId="0" borderId="50" xfId="5" applyNumberFormat="1" applyFont="1" applyFill="1" applyBorder="1" applyAlignment="1">
      <alignment horizontal="right" vertical="center"/>
    </xf>
    <xf numFmtId="181" fontId="22" fillId="0" borderId="50" xfId="1" applyNumberFormat="1" applyFont="1" applyBorder="1">
      <alignment vertical="center"/>
    </xf>
    <xf numFmtId="176" fontId="22" fillId="0" borderId="55" xfId="3" applyNumberFormat="1" applyFont="1" applyFill="1" applyBorder="1" applyAlignment="1">
      <alignment vertical="center"/>
    </xf>
    <xf numFmtId="0" fontId="22" fillId="0" borderId="42" xfId="1" applyFont="1" applyBorder="1" applyAlignment="1">
      <alignment vertical="center" wrapText="1"/>
    </xf>
    <xf numFmtId="177" fontId="22" fillId="5" borderId="42" xfId="3" applyNumberFormat="1" applyFont="1" applyFill="1" applyBorder="1" applyAlignment="1">
      <alignment horizontal="right" vertical="center"/>
    </xf>
    <xf numFmtId="177" fontId="22" fillId="6" borderId="42" xfId="3" applyNumberFormat="1" applyFont="1" applyFill="1" applyBorder="1" applyAlignment="1">
      <alignment horizontal="right" vertical="center"/>
    </xf>
    <xf numFmtId="181" fontId="22" fillId="0" borderId="42" xfId="1" applyNumberFormat="1" applyFont="1" applyBorder="1" applyAlignment="1">
      <alignment vertical="center" wrapText="1"/>
    </xf>
    <xf numFmtId="0" fontId="22" fillId="0" borderId="68" xfId="1" applyFont="1" applyBorder="1">
      <alignment vertical="center"/>
    </xf>
    <xf numFmtId="181" fontId="22" fillId="0" borderId="27" xfId="1" applyNumberFormat="1" applyFont="1" applyBorder="1" applyAlignment="1">
      <alignment vertical="center" wrapText="1"/>
    </xf>
    <xf numFmtId="0" fontId="22" fillId="0" borderId="1" xfId="1" applyFont="1" applyBorder="1">
      <alignment vertical="center"/>
    </xf>
    <xf numFmtId="186" fontId="21" fillId="0" borderId="42" xfId="5" applyNumberFormat="1" applyFont="1" applyFill="1" applyBorder="1" applyAlignment="1">
      <alignment horizontal="right" vertical="center"/>
    </xf>
    <xf numFmtId="0" fontId="22" fillId="0" borderId="42" xfId="1" applyFont="1" applyBorder="1">
      <alignment vertical="center"/>
    </xf>
    <xf numFmtId="0" fontId="22" fillId="0" borderId="1" xfId="1" applyFont="1" applyBorder="1" applyAlignment="1">
      <alignment vertical="center" wrapText="1"/>
    </xf>
    <xf numFmtId="0" fontId="22" fillId="0" borderId="29" xfId="1" applyFont="1" applyBorder="1" applyAlignment="1">
      <alignment vertical="center" wrapText="1"/>
    </xf>
    <xf numFmtId="0" fontId="22" fillId="0" borderId="26" xfId="1" applyFont="1" applyBorder="1">
      <alignment vertical="center"/>
    </xf>
    <xf numFmtId="177" fontId="22" fillId="0" borderId="2" xfId="3" applyNumberFormat="1" applyFont="1" applyFill="1" applyBorder="1" applyAlignment="1">
      <alignment horizontal="right" vertical="center"/>
    </xf>
    <xf numFmtId="186" fontId="21" fillId="0" borderId="5" xfId="5" applyNumberFormat="1" applyFont="1" applyFill="1" applyBorder="1" applyAlignment="1">
      <alignment horizontal="right" vertical="center"/>
    </xf>
    <xf numFmtId="0" fontId="22" fillId="0" borderId="46" xfId="1" applyFont="1" applyBorder="1" applyAlignment="1">
      <alignment vertical="center" wrapText="1"/>
    </xf>
    <xf numFmtId="0" fontId="22" fillId="0" borderId="26" xfId="1" applyFont="1" applyBorder="1" applyAlignment="1">
      <alignment vertical="center" wrapText="1"/>
    </xf>
    <xf numFmtId="0" fontId="22" fillId="0" borderId="27" xfId="1" applyFont="1" applyBorder="1" applyAlignment="1">
      <alignment vertical="center" wrapText="1"/>
    </xf>
    <xf numFmtId="177" fontId="21" fillId="5" borderId="26" xfId="3" applyNumberFormat="1" applyFont="1" applyFill="1" applyBorder="1" applyAlignment="1">
      <alignment horizontal="right" vertical="center"/>
    </xf>
    <xf numFmtId="177" fontId="21" fillId="6" borderId="26" xfId="3" applyNumberFormat="1" applyFont="1" applyFill="1" applyBorder="1" applyAlignment="1">
      <alignment horizontal="right" vertical="center"/>
    </xf>
    <xf numFmtId="0" fontId="22" fillId="0" borderId="27" xfId="1" applyFont="1" applyBorder="1" applyAlignment="1">
      <alignment vertical="center" wrapText="1"/>
    </xf>
    <xf numFmtId="176" fontId="22" fillId="0" borderId="48" xfId="3" applyNumberFormat="1" applyFont="1" applyFill="1" applyBorder="1" applyAlignment="1">
      <alignment vertical="center" wrapText="1"/>
    </xf>
    <xf numFmtId="0" fontId="22" fillId="0" borderId="50" xfId="1" applyFont="1" applyBorder="1">
      <alignment vertical="center"/>
    </xf>
    <xf numFmtId="177" fontId="22" fillId="5" borderId="5" xfId="3" applyNumberFormat="1" applyFont="1" applyFill="1" applyBorder="1" applyAlignment="1">
      <alignment horizontal="right" vertical="center" wrapText="1"/>
    </xf>
    <xf numFmtId="177" fontId="22" fillId="6" borderId="5" xfId="3" applyNumberFormat="1" applyFont="1" applyFill="1" applyBorder="1" applyAlignment="1">
      <alignment horizontal="right" vertical="center" wrapText="1"/>
    </xf>
    <xf numFmtId="181" fontId="22" fillId="0" borderId="50" xfId="1" applyNumberFormat="1" applyFont="1" applyBorder="1" applyAlignment="1">
      <alignment horizontal="left" vertical="center" wrapText="1"/>
    </xf>
    <xf numFmtId="176" fontId="22" fillId="0" borderId="55" xfId="3" applyNumberFormat="1" applyFont="1" applyFill="1" applyBorder="1" applyAlignment="1">
      <alignment horizontal="left" vertical="center" wrapText="1"/>
    </xf>
    <xf numFmtId="177" fontId="22" fillId="5" borderId="50" xfId="3" applyNumberFormat="1" applyFont="1" applyFill="1" applyBorder="1" applyAlignment="1">
      <alignment horizontal="right" vertical="center" wrapText="1"/>
    </xf>
    <xf numFmtId="177" fontId="22" fillId="6" borderId="50" xfId="3" applyNumberFormat="1" applyFont="1" applyFill="1" applyBorder="1" applyAlignment="1">
      <alignment horizontal="right" vertical="center" wrapText="1"/>
    </xf>
    <xf numFmtId="177" fontId="22" fillId="0" borderId="50" xfId="3" applyNumberFormat="1" applyFont="1" applyFill="1" applyBorder="1" applyAlignment="1">
      <alignment horizontal="right" vertical="center" wrapText="1"/>
    </xf>
    <xf numFmtId="186" fontId="21" fillId="0" borderId="50" xfId="5" applyNumberFormat="1" applyFont="1" applyFill="1" applyBorder="1" applyAlignment="1">
      <alignment horizontal="right" vertical="center" wrapText="1"/>
    </xf>
    <xf numFmtId="181" fontId="22" fillId="0" borderId="42" xfId="1" applyNumberFormat="1" applyFont="1" applyBorder="1" applyAlignment="1">
      <alignment horizontal="left" vertical="center" wrapText="1"/>
    </xf>
    <xf numFmtId="0" fontId="22" fillId="0" borderId="50" xfId="1" applyFont="1" applyBorder="1" applyAlignment="1">
      <alignment vertical="center" wrapText="1"/>
    </xf>
    <xf numFmtId="186" fontId="22" fillId="0" borderId="50" xfId="5" applyNumberFormat="1" applyFont="1" applyFill="1" applyBorder="1" applyAlignment="1">
      <alignment horizontal="right" vertical="center" wrapText="1"/>
    </xf>
    <xf numFmtId="177" fontId="22" fillId="5" borderId="27" xfId="3" applyNumberFormat="1" applyFont="1" applyFill="1" applyBorder="1" applyAlignment="1">
      <alignment horizontal="right" vertical="center" wrapText="1"/>
    </xf>
    <xf numFmtId="177" fontId="22" fillId="6" borderId="27" xfId="3" applyNumberFormat="1" applyFont="1" applyFill="1" applyBorder="1" applyAlignment="1">
      <alignment horizontal="right" vertical="center" wrapText="1"/>
    </xf>
    <xf numFmtId="177" fontId="22" fillId="0" borderId="27" xfId="3" applyNumberFormat="1" applyFont="1" applyFill="1" applyBorder="1" applyAlignment="1">
      <alignment horizontal="right" vertical="center" wrapText="1"/>
    </xf>
    <xf numFmtId="186" fontId="22" fillId="0" borderId="27" xfId="5" applyNumberFormat="1" applyFont="1" applyFill="1" applyBorder="1" applyAlignment="1">
      <alignment horizontal="right" vertical="center" wrapText="1"/>
    </xf>
    <xf numFmtId="181" fontId="22" fillId="0" borderId="27" xfId="1" applyNumberFormat="1" applyFont="1" applyBorder="1" applyAlignment="1">
      <alignment horizontal="left" vertical="center" wrapText="1"/>
    </xf>
    <xf numFmtId="177" fontId="21" fillId="0" borderId="50" xfId="3" applyNumberFormat="1" applyFont="1" applyFill="1" applyBorder="1" applyAlignment="1">
      <alignment horizontal="right" vertical="center" wrapText="1"/>
    </xf>
    <xf numFmtId="0" fontId="22" fillId="0" borderId="66" xfId="1" applyFont="1" applyBorder="1" applyAlignment="1">
      <alignment vertical="center" wrapText="1"/>
    </xf>
    <xf numFmtId="0" fontId="22" fillId="0" borderId="5" xfId="1" applyFont="1" applyBorder="1" applyAlignment="1">
      <alignment vertical="center" wrapText="1"/>
    </xf>
    <xf numFmtId="0" fontId="22" fillId="0" borderId="2" xfId="1" applyFont="1" applyBorder="1" applyAlignment="1">
      <alignment vertical="center" wrapText="1"/>
    </xf>
    <xf numFmtId="177" fontId="21" fillId="5" borderId="5" xfId="3" applyNumberFormat="1" applyFont="1" applyFill="1" applyBorder="1" applyAlignment="1">
      <alignment horizontal="right" vertical="center" wrapText="1"/>
    </xf>
    <xf numFmtId="177" fontId="21" fillId="6" borderId="5" xfId="3" applyNumberFormat="1" applyFont="1" applyFill="1" applyBorder="1" applyAlignment="1">
      <alignment horizontal="right" vertical="center" wrapText="1"/>
    </xf>
    <xf numFmtId="177" fontId="21" fillId="6" borderId="2" xfId="3" applyNumberFormat="1" applyFont="1" applyFill="1" applyBorder="1" applyAlignment="1">
      <alignment horizontal="right" vertical="center" wrapText="1"/>
    </xf>
    <xf numFmtId="177" fontId="21" fillId="0" borderId="2" xfId="3" applyNumberFormat="1" applyFont="1" applyFill="1" applyBorder="1" applyAlignment="1">
      <alignment horizontal="right" vertical="center" wrapText="1"/>
    </xf>
    <xf numFmtId="186" fontId="21" fillId="0" borderId="2" xfId="5" applyNumberFormat="1" applyFont="1" applyFill="1" applyBorder="1" applyAlignment="1">
      <alignment horizontal="right" vertical="center" wrapText="1"/>
    </xf>
    <xf numFmtId="181" fontId="22" fillId="0" borderId="2" xfId="1" applyNumberFormat="1" applyFont="1" applyBorder="1" applyAlignment="1">
      <alignment horizontal="left" vertical="center" wrapText="1"/>
    </xf>
    <xf numFmtId="176" fontId="22" fillId="0" borderId="49" xfId="3" applyNumberFormat="1" applyFont="1" applyFill="1" applyBorder="1" applyAlignment="1">
      <alignment vertical="center"/>
    </xf>
    <xf numFmtId="0" fontId="22" fillId="0" borderId="43" xfId="1" applyFont="1" applyBorder="1">
      <alignment vertical="center"/>
    </xf>
    <xf numFmtId="0" fontId="22" fillId="0" borderId="5" xfId="1" applyFont="1" applyBorder="1">
      <alignment vertical="center"/>
    </xf>
    <xf numFmtId="0" fontId="22" fillId="0" borderId="2" xfId="1" applyFont="1" applyBorder="1">
      <alignment vertical="center"/>
    </xf>
    <xf numFmtId="177" fontId="22" fillId="5" borderId="5" xfId="3" applyNumberFormat="1" applyFont="1" applyFill="1" applyBorder="1" applyAlignment="1">
      <alignment horizontal="right" vertical="center"/>
    </xf>
    <xf numFmtId="177" fontId="22" fillId="6" borderId="5" xfId="3" applyNumberFormat="1" applyFont="1" applyFill="1" applyBorder="1" applyAlignment="1">
      <alignment horizontal="right" vertical="center"/>
    </xf>
    <xf numFmtId="177" fontId="22" fillId="6" borderId="2" xfId="3" applyNumberFormat="1" applyFont="1" applyFill="1" applyBorder="1" applyAlignment="1">
      <alignment horizontal="right" vertical="center"/>
    </xf>
    <xf numFmtId="177" fontId="22" fillId="0" borderId="2" xfId="3" applyNumberFormat="1" applyFont="1" applyFill="1" applyBorder="1" applyAlignment="1">
      <alignment horizontal="right" vertical="center" wrapText="1"/>
    </xf>
    <xf numFmtId="0" fontId="22" fillId="0" borderId="29" xfId="1" applyFont="1" applyBorder="1">
      <alignment vertical="center"/>
    </xf>
    <xf numFmtId="0" fontId="22" fillId="0" borderId="5" xfId="1" applyFont="1" applyBorder="1">
      <alignment vertical="center"/>
    </xf>
    <xf numFmtId="177" fontId="22" fillId="5" borderId="2" xfId="3" applyNumberFormat="1" applyFont="1" applyFill="1" applyBorder="1" applyAlignment="1">
      <alignment horizontal="right" vertical="center" wrapText="1"/>
    </xf>
    <xf numFmtId="177" fontId="22" fillId="6" borderId="2" xfId="3" applyNumberFormat="1" applyFont="1" applyFill="1" applyBorder="1" applyAlignment="1">
      <alignment horizontal="right" vertical="center" wrapText="1"/>
    </xf>
    <xf numFmtId="181" fontId="22" fillId="0" borderId="2" xfId="1" applyNumberFormat="1" applyFont="1" applyBorder="1">
      <alignment vertical="center"/>
    </xf>
    <xf numFmtId="0" fontId="22" fillId="0" borderId="29" xfId="1" applyFont="1" applyBorder="1">
      <alignment vertical="center"/>
    </xf>
    <xf numFmtId="0" fontId="22" fillId="0" borderId="1" xfId="1" applyFont="1" applyBorder="1">
      <alignment vertical="center"/>
    </xf>
    <xf numFmtId="0" fontId="22" fillId="0" borderId="47" xfId="1" applyFont="1" applyBorder="1">
      <alignment vertical="center"/>
    </xf>
    <xf numFmtId="177" fontId="22" fillId="5" borderId="42" xfId="3" applyNumberFormat="1" applyFont="1" applyFill="1" applyBorder="1" applyAlignment="1">
      <alignment horizontal="right" vertical="center" wrapText="1"/>
    </xf>
    <xf numFmtId="177" fontId="22" fillId="6" borderId="42" xfId="3" applyNumberFormat="1" applyFont="1" applyFill="1" applyBorder="1" applyAlignment="1">
      <alignment horizontal="right" vertical="center" wrapText="1"/>
    </xf>
    <xf numFmtId="177" fontId="22" fillId="0" borderId="42" xfId="3" applyNumberFormat="1" applyFont="1" applyFill="1" applyBorder="1" applyAlignment="1">
      <alignment horizontal="right" vertical="center" wrapText="1"/>
    </xf>
    <xf numFmtId="186" fontId="21" fillId="0" borderId="42" xfId="5" applyNumberFormat="1" applyFont="1" applyFill="1" applyBorder="1" applyAlignment="1">
      <alignment horizontal="right" vertical="center" wrapText="1"/>
    </xf>
    <xf numFmtId="181" fontId="22" fillId="0" borderId="50" xfId="1" applyNumberFormat="1" applyFont="1" applyBorder="1" applyAlignment="1">
      <alignment vertical="center" wrapText="1"/>
    </xf>
    <xf numFmtId="0" fontId="22" fillId="0" borderId="66" xfId="1" applyFont="1" applyBorder="1">
      <alignment vertical="center"/>
    </xf>
    <xf numFmtId="0" fontId="22" fillId="0" borderId="35" xfId="1" applyFont="1" applyBorder="1">
      <alignment vertical="center"/>
    </xf>
    <xf numFmtId="177" fontId="22" fillId="5" borderId="36" xfId="3" applyNumberFormat="1" applyFont="1" applyFill="1" applyBorder="1" applyAlignment="1">
      <alignment horizontal="right" vertical="center"/>
    </xf>
    <xf numFmtId="177" fontId="22" fillId="6" borderId="36" xfId="3" applyNumberFormat="1" applyFont="1" applyFill="1" applyBorder="1" applyAlignment="1">
      <alignment horizontal="right" vertical="center"/>
    </xf>
    <xf numFmtId="177" fontId="22" fillId="5" borderId="40" xfId="3" applyNumberFormat="1" applyFont="1" applyFill="1" applyBorder="1" applyAlignment="1">
      <alignment horizontal="right" vertical="center"/>
    </xf>
    <xf numFmtId="177" fontId="22" fillId="6" borderId="40" xfId="3" applyNumberFormat="1" applyFont="1" applyFill="1" applyBorder="1" applyAlignment="1">
      <alignment horizontal="right" vertical="center"/>
    </xf>
    <xf numFmtId="0" fontId="22" fillId="0" borderId="46" xfId="1" applyFont="1" applyBorder="1">
      <alignment vertical="center"/>
    </xf>
    <xf numFmtId="177" fontId="21" fillId="0" borderId="50" xfId="3" applyNumberFormat="1" applyFont="1" applyFill="1" applyBorder="1" applyAlignment="1">
      <alignment horizontal="right" vertical="center"/>
    </xf>
    <xf numFmtId="186" fontId="22" fillId="0" borderId="27" xfId="5" applyNumberFormat="1" applyFont="1" applyFill="1" applyBorder="1" applyAlignment="1">
      <alignment horizontal="right" vertical="center"/>
    </xf>
    <xf numFmtId="0" fontId="27" fillId="0" borderId="0" xfId="1" applyFont="1">
      <alignment vertical="center"/>
    </xf>
    <xf numFmtId="0" fontId="27" fillId="4" borderId="0" xfId="1" applyFont="1" applyFill="1">
      <alignment vertical="center"/>
    </xf>
    <xf numFmtId="41" fontId="27" fillId="0" borderId="0" xfId="3" applyFont="1">
      <alignment vertical="center"/>
    </xf>
    <xf numFmtId="0" fontId="21" fillId="3" borderId="58" xfId="1" applyFont="1" applyFill="1" applyBorder="1" applyAlignment="1">
      <alignment horizontal="center" vertical="center"/>
    </xf>
    <xf numFmtId="177" fontId="21" fillId="3" borderId="59" xfId="1" applyNumberFormat="1" applyFont="1" applyFill="1" applyBorder="1" applyAlignment="1">
      <alignment horizontal="center" vertical="center"/>
    </xf>
    <xf numFmtId="183" fontId="21" fillId="3" borderId="59" xfId="1" applyNumberFormat="1" applyFont="1" applyFill="1" applyBorder="1" applyAlignment="1">
      <alignment horizontal="center" vertical="center"/>
    </xf>
    <xf numFmtId="177" fontId="21" fillId="3" borderId="7" xfId="1" applyNumberFormat="1" applyFont="1" applyFill="1" applyBorder="1" applyAlignment="1">
      <alignment horizontal="center" vertical="center" wrapText="1"/>
    </xf>
    <xf numFmtId="0" fontId="21" fillId="3" borderId="84" xfId="1" applyFont="1" applyFill="1" applyBorder="1" applyAlignment="1">
      <alignment horizontal="center" vertical="center"/>
    </xf>
    <xf numFmtId="177" fontId="21" fillId="3" borderId="85" xfId="1" applyNumberFormat="1" applyFont="1" applyFill="1" applyBorder="1" applyAlignment="1">
      <alignment horizontal="center" vertical="center"/>
    </xf>
    <xf numFmtId="183" fontId="21" fillId="3" borderId="85" xfId="1" applyNumberFormat="1" applyFont="1" applyFill="1" applyBorder="1" applyAlignment="1">
      <alignment horizontal="center" vertical="center"/>
    </xf>
    <xf numFmtId="177" fontId="21" fillId="3" borderId="81" xfId="1" applyNumberFormat="1" applyFont="1" applyFill="1" applyBorder="1" applyAlignment="1">
      <alignment horizontal="center" vertical="center"/>
    </xf>
    <xf numFmtId="0" fontId="21" fillId="0" borderId="47" xfId="1" applyFont="1" applyBorder="1">
      <alignment vertical="center"/>
    </xf>
    <xf numFmtId="0" fontId="21" fillId="0" borderId="0" xfId="1" applyFont="1">
      <alignment vertical="center"/>
    </xf>
    <xf numFmtId="177" fontId="21" fillId="5" borderId="62" xfId="3" applyNumberFormat="1" applyFont="1" applyFill="1" applyBorder="1" applyAlignment="1">
      <alignment vertical="center"/>
    </xf>
    <xf numFmtId="177" fontId="21" fillId="6" borderId="62" xfId="3" applyNumberFormat="1" applyFont="1" applyFill="1" applyBorder="1" applyAlignment="1">
      <alignment vertical="center"/>
    </xf>
    <xf numFmtId="177" fontId="21" fillId="0" borderId="27" xfId="3" applyNumberFormat="1" applyFont="1" applyFill="1" applyBorder="1" applyAlignment="1">
      <alignment vertical="center"/>
    </xf>
    <xf numFmtId="186" fontId="21" fillId="0" borderId="27" xfId="5" applyNumberFormat="1" applyFont="1" applyFill="1" applyBorder="1" applyAlignment="1">
      <alignment vertical="center"/>
    </xf>
    <xf numFmtId="41" fontId="21" fillId="0" borderId="27" xfId="3" applyFont="1" applyFill="1" applyBorder="1" applyAlignment="1">
      <alignment horizontal="left" vertical="center"/>
    </xf>
    <xf numFmtId="0" fontId="28" fillId="0" borderId="1" xfId="1" applyFont="1" applyBorder="1" applyAlignment="1">
      <alignment horizontal="center" vertical="center"/>
    </xf>
    <xf numFmtId="0" fontId="21" fillId="0" borderId="1" xfId="1" applyFont="1" applyBorder="1">
      <alignment vertical="center"/>
    </xf>
    <xf numFmtId="41" fontId="21" fillId="0" borderId="48" xfId="3" applyFont="1" applyFill="1" applyBorder="1" applyAlignment="1">
      <alignment vertical="center"/>
    </xf>
    <xf numFmtId="0" fontId="25" fillId="0" borderId="38" xfId="1" applyFont="1" applyBorder="1">
      <alignment vertical="center"/>
    </xf>
    <xf numFmtId="0" fontId="25" fillId="0" borderId="3" xfId="1" applyFont="1" applyBorder="1">
      <alignment vertical="center"/>
    </xf>
    <xf numFmtId="177" fontId="25" fillId="5" borderId="50" xfId="3" applyNumberFormat="1" applyFont="1" applyFill="1" applyBorder="1" applyAlignment="1">
      <alignment vertical="center"/>
    </xf>
    <xf numFmtId="177" fontId="25" fillId="6" borderId="50" xfId="3" applyNumberFormat="1" applyFont="1" applyFill="1" applyBorder="1" applyAlignment="1">
      <alignment vertical="center"/>
    </xf>
    <xf numFmtId="177" fontId="26" fillId="6" borderId="50" xfId="3" applyNumberFormat="1" applyFont="1" applyFill="1" applyBorder="1" applyAlignment="1">
      <alignment vertical="center"/>
    </xf>
    <xf numFmtId="177" fontId="21" fillId="6" borderId="50" xfId="3" applyNumberFormat="1" applyFont="1" applyFill="1" applyBorder="1" applyAlignment="1">
      <alignment vertical="center"/>
    </xf>
    <xf numFmtId="41" fontId="21" fillId="0" borderId="2" xfId="3" applyFont="1" applyFill="1" applyBorder="1" applyAlignment="1">
      <alignment horizontal="left" vertical="center"/>
    </xf>
    <xf numFmtId="0" fontId="28" fillId="0" borderId="3" xfId="1" applyFont="1" applyBorder="1" applyAlignment="1">
      <alignment horizontal="center" vertical="center"/>
    </xf>
    <xf numFmtId="0" fontId="21" fillId="0" borderId="3" xfId="1" applyFont="1" applyBorder="1">
      <alignment vertical="center"/>
    </xf>
    <xf numFmtId="41" fontId="21" fillId="0" borderId="49" xfId="3" applyFont="1" applyFill="1" applyBorder="1" applyAlignment="1">
      <alignment vertical="center"/>
    </xf>
    <xf numFmtId="0" fontId="22" fillId="0" borderId="4" xfId="1" applyFont="1" applyBorder="1">
      <alignment vertical="center"/>
    </xf>
    <xf numFmtId="177" fontId="22" fillId="5" borderId="2" xfId="3" applyNumberFormat="1" applyFont="1" applyFill="1" applyBorder="1" applyAlignment="1">
      <alignment vertical="center"/>
    </xf>
    <xf numFmtId="177" fontId="22" fillId="6" borderId="2" xfId="3" applyNumberFormat="1" applyFont="1" applyFill="1" applyBorder="1" applyAlignment="1">
      <alignment vertical="center"/>
    </xf>
    <xf numFmtId="177" fontId="22" fillId="0" borderId="27" xfId="3" applyNumberFormat="1" applyFont="1" applyFill="1" applyBorder="1" applyAlignment="1">
      <alignment vertical="center"/>
    </xf>
    <xf numFmtId="186" fontId="22" fillId="0" borderId="27" xfId="5" applyNumberFormat="1" applyFont="1" applyFill="1" applyBorder="1" applyAlignment="1">
      <alignment vertical="center"/>
    </xf>
    <xf numFmtId="41" fontId="22" fillId="0" borderId="2" xfId="3" applyFont="1" applyFill="1" applyBorder="1" applyAlignment="1">
      <alignment horizontal="left" vertical="center"/>
    </xf>
    <xf numFmtId="0" fontId="23" fillId="0" borderId="3" xfId="1" applyFont="1" applyBorder="1" applyAlignment="1">
      <alignment horizontal="center" vertical="center"/>
    </xf>
    <xf numFmtId="0" fontId="22" fillId="0" borderId="3" xfId="1" applyFont="1" applyBorder="1">
      <alignment vertical="center"/>
    </xf>
    <xf numFmtId="41" fontId="22" fillId="0" borderId="49" xfId="3" applyFont="1" applyFill="1" applyBorder="1" applyAlignment="1">
      <alignment vertical="center"/>
    </xf>
    <xf numFmtId="177" fontId="22" fillId="5" borderId="36" xfId="1" applyNumberFormat="1" applyFont="1" applyFill="1" applyBorder="1">
      <alignment vertical="center"/>
    </xf>
    <xf numFmtId="177" fontId="22" fillId="6" borderId="36" xfId="1" applyNumberFormat="1" applyFont="1" applyFill="1" applyBorder="1">
      <alignment vertical="center"/>
    </xf>
    <xf numFmtId="177" fontId="22" fillId="6" borderId="42" xfId="1" applyNumberFormat="1" applyFont="1" applyFill="1" applyBorder="1">
      <alignment vertical="center"/>
    </xf>
    <xf numFmtId="177" fontId="22" fillId="0" borderId="42" xfId="1" applyNumberFormat="1" applyFont="1" applyBorder="1">
      <alignment vertical="center"/>
    </xf>
    <xf numFmtId="186" fontId="22" fillId="0" borderId="42" xfId="5" applyNumberFormat="1" applyFont="1" applyBorder="1">
      <alignment vertical="center"/>
    </xf>
    <xf numFmtId="41" fontId="22" fillId="0" borderId="42" xfId="3" applyFont="1" applyFill="1" applyBorder="1" applyAlignment="1">
      <alignment horizontal="left" vertical="center"/>
    </xf>
    <xf numFmtId="0" fontId="23" fillId="0" borderId="69" xfId="1" applyFont="1" applyBorder="1" applyAlignment="1">
      <alignment horizontal="center" vertical="center"/>
    </xf>
    <xf numFmtId="0" fontId="22" fillId="0" borderId="69" xfId="1" applyFont="1" applyBorder="1">
      <alignment vertical="center"/>
    </xf>
    <xf numFmtId="41" fontId="22" fillId="0" borderId="67" xfId="3" applyFont="1" applyFill="1" applyBorder="1" applyAlignment="1">
      <alignment vertical="center"/>
    </xf>
    <xf numFmtId="177" fontId="22" fillId="5" borderId="50" xfId="1" applyNumberFormat="1" applyFont="1" applyFill="1" applyBorder="1">
      <alignment vertical="center"/>
    </xf>
    <xf numFmtId="177" fontId="22" fillId="6" borderId="50" xfId="1" applyNumberFormat="1" applyFont="1" applyFill="1" applyBorder="1">
      <alignment vertical="center"/>
    </xf>
    <xf numFmtId="177" fontId="22" fillId="0" borderId="50" xfId="1" applyNumberFormat="1" applyFont="1" applyBorder="1">
      <alignment vertical="center"/>
    </xf>
    <xf numFmtId="186" fontId="22" fillId="0" borderId="50" xfId="5" applyNumberFormat="1" applyFont="1" applyBorder="1">
      <alignment vertical="center"/>
    </xf>
    <xf numFmtId="41" fontId="22" fillId="0" borderId="50" xfId="3" applyFont="1" applyFill="1" applyBorder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22" fillId="0" borderId="0" xfId="1" applyFont="1">
      <alignment vertical="center"/>
    </xf>
    <xf numFmtId="41" fontId="22" fillId="0" borderId="55" xfId="3" applyFont="1" applyFill="1" applyBorder="1" applyAlignment="1">
      <alignment vertical="center"/>
    </xf>
    <xf numFmtId="41" fontId="22" fillId="0" borderId="50" xfId="3" applyFont="1" applyFill="1" applyBorder="1" applyAlignment="1">
      <alignment horizontal="left" vertical="center" wrapText="1"/>
    </xf>
    <xf numFmtId="0" fontId="23" fillId="0" borderId="0" xfId="1" applyFont="1" applyAlignment="1">
      <alignment horizontal="center" vertical="center" wrapText="1"/>
    </xf>
    <xf numFmtId="0" fontId="22" fillId="0" borderId="0" xfId="1" applyFont="1" applyAlignment="1">
      <alignment vertical="center" wrapText="1"/>
    </xf>
    <xf numFmtId="177" fontId="22" fillId="6" borderId="40" xfId="1" applyNumberFormat="1" applyFont="1" applyFill="1" applyBorder="1">
      <alignment vertical="center"/>
    </xf>
    <xf numFmtId="177" fontId="22" fillId="0" borderId="40" xfId="1" applyNumberFormat="1" applyFont="1" applyBorder="1">
      <alignment vertical="center"/>
    </xf>
    <xf numFmtId="0" fontId="23" fillId="0" borderId="0" xfId="1" applyFont="1" applyBorder="1" applyAlignment="1">
      <alignment horizontal="center" vertical="center" wrapText="1"/>
    </xf>
    <xf numFmtId="0" fontId="22" fillId="0" borderId="0" xfId="1" applyFont="1" applyBorder="1" applyAlignment="1">
      <alignment vertical="center" wrapText="1"/>
    </xf>
    <xf numFmtId="177" fontId="22" fillId="5" borderId="27" xfId="1" applyNumberFormat="1" applyFont="1" applyFill="1" applyBorder="1">
      <alignment vertical="center"/>
    </xf>
    <xf numFmtId="177" fontId="22" fillId="6" borderId="27" xfId="1" applyNumberFormat="1" applyFont="1" applyFill="1" applyBorder="1">
      <alignment vertical="center"/>
    </xf>
    <xf numFmtId="177" fontId="22" fillId="0" borderId="27" xfId="1" applyNumberFormat="1" applyFont="1" applyBorder="1">
      <alignment vertical="center"/>
    </xf>
    <xf numFmtId="186" fontId="22" fillId="0" borderId="27" xfId="5" applyNumberFormat="1" applyFont="1" applyBorder="1">
      <alignment vertical="center"/>
    </xf>
    <xf numFmtId="41" fontId="22" fillId="0" borderId="27" xfId="3" applyFont="1" applyFill="1" applyBorder="1" applyAlignment="1">
      <alignment horizontal="left" vertical="center" wrapText="1"/>
    </xf>
    <xf numFmtId="0" fontId="23" fillId="0" borderId="1" xfId="1" applyFont="1" applyBorder="1" applyAlignment="1">
      <alignment horizontal="center" vertical="center" wrapText="1"/>
    </xf>
    <xf numFmtId="41" fontId="22" fillId="0" borderId="48" xfId="3" applyFont="1" applyFill="1" applyBorder="1" applyAlignment="1">
      <alignment vertical="center"/>
    </xf>
    <xf numFmtId="41" fontId="22" fillId="0" borderId="55" xfId="1" applyNumberFormat="1" applyFont="1" applyBorder="1">
      <alignment vertical="center"/>
    </xf>
    <xf numFmtId="177" fontId="22" fillId="5" borderId="42" xfId="1" applyNumberFormat="1" applyFont="1" applyFill="1" applyBorder="1">
      <alignment vertical="center"/>
    </xf>
    <xf numFmtId="0" fontId="22" fillId="0" borderId="36" xfId="1" applyFont="1" applyBorder="1" applyAlignment="1">
      <alignment horizontal="center" vertical="center" wrapText="1"/>
    </xf>
    <xf numFmtId="3" fontId="22" fillId="0" borderId="69" xfId="1" applyNumberFormat="1" applyFont="1" applyBorder="1">
      <alignment vertical="center"/>
    </xf>
    <xf numFmtId="0" fontId="22" fillId="0" borderId="40" xfId="1" applyFont="1" applyBorder="1" applyAlignment="1">
      <alignment horizontal="center" vertical="center" wrapText="1"/>
    </xf>
    <xf numFmtId="3" fontId="22" fillId="0" borderId="0" xfId="1" applyNumberFormat="1" applyFont="1">
      <alignment vertical="center"/>
    </xf>
    <xf numFmtId="0" fontId="22" fillId="0" borderId="40" xfId="1" applyFont="1" applyBorder="1" applyAlignment="1">
      <alignment horizontal="center" vertical="center" wrapText="1"/>
    </xf>
    <xf numFmtId="41" fontId="22" fillId="0" borderId="27" xfId="3" applyFont="1" applyFill="1" applyBorder="1" applyAlignment="1">
      <alignment horizontal="left" vertical="center"/>
    </xf>
    <xf numFmtId="0" fontId="23" fillId="0" borderId="1" xfId="1" applyFont="1" applyBorder="1" applyAlignment="1">
      <alignment horizontal="center" vertical="center"/>
    </xf>
    <xf numFmtId="0" fontId="22" fillId="0" borderId="2" xfId="1" applyFont="1" applyBorder="1">
      <alignment vertical="center"/>
    </xf>
    <xf numFmtId="0" fontId="22" fillId="0" borderId="4" xfId="1" applyFont="1" applyBorder="1">
      <alignment vertical="center"/>
    </xf>
    <xf numFmtId="177" fontId="22" fillId="5" borderId="2" xfId="1" applyNumberFormat="1" applyFont="1" applyFill="1" applyBorder="1">
      <alignment vertical="center"/>
    </xf>
    <xf numFmtId="177" fontId="22" fillId="6" borderId="2" xfId="1" applyNumberFormat="1" applyFont="1" applyFill="1" applyBorder="1">
      <alignment vertical="center"/>
    </xf>
    <xf numFmtId="177" fontId="22" fillId="0" borderId="2" xfId="1" applyNumberFormat="1" applyFont="1" applyBorder="1">
      <alignment vertical="center"/>
    </xf>
    <xf numFmtId="186" fontId="22" fillId="0" borderId="2" xfId="5" applyNumberFormat="1" applyFont="1" applyBorder="1">
      <alignment vertical="center"/>
    </xf>
    <xf numFmtId="3" fontId="23" fillId="0" borderId="0" xfId="1" applyNumberFormat="1" applyFont="1" applyAlignment="1">
      <alignment horizontal="center" vertical="center"/>
    </xf>
    <xf numFmtId="3" fontId="23" fillId="0" borderId="1" xfId="1" applyNumberFormat="1" applyFont="1" applyBorder="1" applyAlignment="1">
      <alignment horizontal="center" vertical="center"/>
    </xf>
    <xf numFmtId="0" fontId="23" fillId="0" borderId="0" xfId="3" applyNumberFormat="1" applyFont="1" applyFill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3" fontId="22" fillId="0" borderId="1" xfId="1" applyNumberFormat="1" applyFont="1" applyBorder="1" applyAlignment="1">
      <alignment horizontal="left" vertical="center"/>
    </xf>
    <xf numFmtId="177" fontId="22" fillId="0" borderId="2" xfId="3" applyNumberFormat="1" applyFont="1" applyFill="1" applyBorder="1" applyAlignment="1">
      <alignment vertical="center"/>
    </xf>
    <xf numFmtId="186" fontId="22" fillId="0" borderId="2" xfId="5" applyNumberFormat="1" applyFont="1" applyFill="1" applyBorder="1" applyAlignment="1">
      <alignment vertical="center"/>
    </xf>
    <xf numFmtId="0" fontId="22" fillId="0" borderId="5" xfId="1" applyFont="1" applyBorder="1" applyAlignment="1">
      <alignment vertical="center" wrapText="1"/>
    </xf>
    <xf numFmtId="0" fontId="22" fillId="0" borderId="2" xfId="3" applyNumberFormat="1" applyFont="1" applyFill="1" applyBorder="1" applyAlignment="1">
      <alignment vertical="center" wrapText="1"/>
    </xf>
    <xf numFmtId="0" fontId="22" fillId="0" borderId="3" xfId="3" applyNumberFormat="1" applyFont="1" applyFill="1" applyBorder="1" applyAlignment="1">
      <alignment vertical="center" wrapText="1"/>
    </xf>
    <xf numFmtId="41" fontId="22" fillId="0" borderId="42" xfId="3" applyFont="1" applyFill="1" applyBorder="1" applyAlignment="1">
      <alignment horizontal="left" vertical="center" wrapText="1"/>
    </xf>
    <xf numFmtId="0" fontId="22" fillId="0" borderId="50" xfId="3" applyNumberFormat="1" applyFont="1" applyFill="1" applyBorder="1" applyAlignment="1">
      <alignment vertical="center" wrapText="1"/>
    </xf>
    <xf numFmtId="0" fontId="22" fillId="0" borderId="0" xfId="3" applyNumberFormat="1" applyFont="1" applyFill="1" applyBorder="1" applyAlignment="1">
      <alignment vertical="center" wrapText="1"/>
    </xf>
    <xf numFmtId="0" fontId="22" fillId="0" borderId="27" xfId="3" applyNumberFormat="1" applyFont="1" applyFill="1" applyBorder="1" applyAlignment="1">
      <alignment vertical="center" wrapText="1"/>
    </xf>
    <xf numFmtId="0" fontId="22" fillId="0" borderId="1" xfId="3" applyNumberFormat="1" applyFont="1" applyFill="1" applyBorder="1" applyAlignment="1">
      <alignment vertical="center" wrapText="1"/>
    </xf>
    <xf numFmtId="0" fontId="22" fillId="0" borderId="50" xfId="3" applyNumberFormat="1" applyFont="1" applyFill="1" applyBorder="1" applyAlignment="1">
      <alignment horizontal="left" vertical="center" wrapText="1"/>
    </xf>
    <xf numFmtId="0" fontId="22" fillId="0" borderId="42" xfId="3" applyNumberFormat="1" applyFont="1" applyFill="1" applyBorder="1" applyAlignment="1">
      <alignment vertical="center" wrapText="1"/>
    </xf>
    <xf numFmtId="0" fontId="22" fillId="0" borderId="69" xfId="3" applyNumberFormat="1" applyFont="1" applyFill="1" applyBorder="1" applyAlignment="1">
      <alignment vertical="center" wrapText="1"/>
    </xf>
    <xf numFmtId="0" fontId="22" fillId="0" borderId="69" xfId="1" applyFont="1" applyBorder="1" applyAlignment="1">
      <alignment vertical="center" wrapText="1"/>
    </xf>
    <xf numFmtId="0" fontId="22" fillId="0" borderId="27" xfId="3" applyNumberFormat="1" applyFont="1" applyFill="1" applyBorder="1" applyAlignment="1">
      <alignment vertical="center" wrapText="1"/>
    </xf>
    <xf numFmtId="0" fontId="22" fillId="0" borderId="1" xfId="3" applyNumberFormat="1" applyFont="1" applyFill="1" applyBorder="1" applyAlignment="1">
      <alignment vertical="center" wrapText="1"/>
    </xf>
    <xf numFmtId="177" fontId="22" fillId="0" borderId="5" xfId="1" applyNumberFormat="1" applyFont="1" applyBorder="1">
      <alignment vertical="center"/>
    </xf>
    <xf numFmtId="0" fontId="22" fillId="0" borderId="2" xfId="3" applyNumberFormat="1" applyFont="1" applyFill="1" applyBorder="1" applyAlignment="1">
      <alignment horizontal="left" vertical="center" wrapText="1"/>
    </xf>
    <xf numFmtId="0" fontId="22" fillId="0" borderId="3" xfId="3" applyNumberFormat="1" applyFont="1" applyFill="1" applyBorder="1" applyAlignment="1">
      <alignment horizontal="left" vertical="center" wrapText="1"/>
    </xf>
    <xf numFmtId="0" fontId="21" fillId="0" borderId="38" xfId="1" applyFont="1" applyBorder="1" applyAlignment="1">
      <alignment vertical="center" wrapText="1"/>
    </xf>
    <xf numFmtId="0" fontId="21" fillId="0" borderId="3" xfId="1" applyFont="1" applyBorder="1" applyAlignment="1">
      <alignment vertical="center" wrapText="1"/>
    </xf>
    <xf numFmtId="0" fontId="21" fillId="0" borderId="4" xfId="1" applyFont="1" applyBorder="1" applyAlignment="1">
      <alignment vertical="center" wrapText="1"/>
    </xf>
    <xf numFmtId="177" fontId="21" fillId="5" borderId="42" xfId="3" applyNumberFormat="1" applyFont="1" applyFill="1" applyBorder="1" applyAlignment="1">
      <alignment vertical="center"/>
    </xf>
    <xf numFmtId="177" fontId="21" fillId="6" borderId="42" xfId="3" applyNumberFormat="1" applyFont="1" applyFill="1" applyBorder="1" applyAlignment="1">
      <alignment vertical="center"/>
    </xf>
    <xf numFmtId="0" fontId="22" fillId="0" borderId="4" xfId="1" applyFont="1" applyBorder="1" applyAlignment="1">
      <alignment vertical="center" wrapText="1"/>
    </xf>
    <xf numFmtId="177" fontId="22" fillId="5" borderId="42" xfId="3" applyNumberFormat="1" applyFont="1" applyFill="1" applyBorder="1" applyAlignment="1">
      <alignment vertical="center"/>
    </xf>
    <xf numFmtId="177" fontId="22" fillId="6" borderId="42" xfId="3" applyNumberFormat="1" applyFont="1" applyFill="1" applyBorder="1" applyAlignment="1">
      <alignment vertical="center"/>
    </xf>
    <xf numFmtId="0" fontId="22" fillId="0" borderId="36" xfId="1" applyFont="1" applyBorder="1" applyAlignment="1">
      <alignment vertical="center" wrapText="1"/>
    </xf>
    <xf numFmtId="177" fontId="22" fillId="0" borderId="36" xfId="1" applyNumberFormat="1" applyFont="1" applyBorder="1">
      <alignment vertical="center"/>
    </xf>
    <xf numFmtId="0" fontId="22" fillId="0" borderId="69" xfId="1" applyFont="1" applyBorder="1" applyAlignment="1">
      <alignment horizontal="center" vertical="center"/>
    </xf>
    <xf numFmtId="0" fontId="22" fillId="0" borderId="40" xfId="1" applyFont="1" applyBorder="1" applyAlignment="1">
      <alignment vertical="center" wrapText="1"/>
    </xf>
    <xf numFmtId="177" fontId="22" fillId="5" borderId="50" xfId="3" applyNumberFormat="1" applyFont="1" applyFill="1" applyBorder="1" applyAlignment="1">
      <alignment vertical="center"/>
    </xf>
    <xf numFmtId="177" fontId="22" fillId="6" borderId="50" xfId="3" applyNumberFormat="1" applyFont="1" applyFill="1" applyBorder="1" applyAlignment="1">
      <alignment vertical="center"/>
    </xf>
    <xf numFmtId="0" fontId="22" fillId="0" borderId="0" xfId="1" applyFont="1" applyBorder="1" applyAlignment="1">
      <alignment horizontal="center" vertical="center"/>
    </xf>
    <xf numFmtId="0" fontId="22" fillId="0" borderId="26" xfId="1" applyFont="1" applyBorder="1" applyAlignment="1">
      <alignment vertical="center" wrapText="1"/>
    </xf>
    <xf numFmtId="177" fontId="22" fillId="5" borderId="27" xfId="3" applyNumberFormat="1" applyFont="1" applyFill="1" applyBorder="1" applyAlignment="1">
      <alignment vertical="center"/>
    </xf>
    <xf numFmtId="177" fontId="22" fillId="6" borderId="27" xfId="3" applyNumberFormat="1" applyFont="1" applyFill="1" applyBorder="1" applyAlignment="1">
      <alignment vertical="center"/>
    </xf>
    <xf numFmtId="0" fontId="22" fillId="0" borderId="40" xfId="1" applyFont="1" applyBorder="1" applyAlignment="1">
      <alignment horizontal="left" vertical="center" wrapText="1"/>
    </xf>
    <xf numFmtId="0" fontId="22" fillId="0" borderId="40" xfId="1" applyFont="1" applyBorder="1" applyAlignment="1">
      <alignment horizontal="left" vertical="center" wrapText="1"/>
    </xf>
    <xf numFmtId="0" fontId="21" fillId="0" borderId="38" xfId="1" applyFont="1" applyBorder="1">
      <alignment vertical="center"/>
    </xf>
    <xf numFmtId="0" fontId="21" fillId="0" borderId="3" xfId="1" applyFont="1" applyBorder="1">
      <alignment vertical="center"/>
    </xf>
    <xf numFmtId="0" fontId="21" fillId="0" borderId="4" xfId="1" applyFont="1" applyBorder="1">
      <alignment vertical="center"/>
    </xf>
    <xf numFmtId="177" fontId="21" fillId="5" borderId="5" xfId="1" applyNumberFormat="1" applyFont="1" applyFill="1" applyBorder="1">
      <alignment vertical="center"/>
    </xf>
    <xf numFmtId="177" fontId="21" fillId="6" borderId="5" xfId="1" applyNumberFormat="1" applyFont="1" applyFill="1" applyBorder="1">
      <alignment vertical="center"/>
    </xf>
    <xf numFmtId="177" fontId="21" fillId="0" borderId="2" xfId="1" applyNumberFormat="1" applyFont="1" applyBorder="1">
      <alignment vertical="center"/>
    </xf>
    <xf numFmtId="186" fontId="21" fillId="0" borderId="2" xfId="5" applyNumberFormat="1" applyFont="1" applyBorder="1">
      <alignment vertical="center"/>
    </xf>
    <xf numFmtId="177" fontId="22" fillId="5" borderId="5" xfId="3" applyNumberFormat="1" applyFont="1" applyFill="1" applyBorder="1" applyAlignment="1">
      <alignment vertical="center"/>
    </xf>
    <xf numFmtId="177" fontId="22" fillId="6" borderId="5" xfId="3" applyNumberFormat="1" applyFont="1" applyFill="1" applyBorder="1" applyAlignment="1">
      <alignment vertical="center"/>
    </xf>
    <xf numFmtId="0" fontId="22" fillId="0" borderId="36" xfId="1" applyFont="1" applyBorder="1" applyAlignment="1">
      <alignment horizontal="left" vertical="center" wrapText="1"/>
    </xf>
    <xf numFmtId="177" fontId="22" fillId="0" borderId="42" xfId="3" applyNumberFormat="1" applyFont="1" applyFill="1" applyBorder="1" applyAlignment="1">
      <alignment vertical="center"/>
    </xf>
    <xf numFmtId="186" fontId="22" fillId="0" borderId="42" xfId="5" applyNumberFormat="1" applyFont="1" applyFill="1" applyBorder="1" applyAlignment="1">
      <alignment vertical="center"/>
    </xf>
    <xf numFmtId="41" fontId="22" fillId="0" borderId="2" xfId="3" applyFont="1" applyFill="1" applyBorder="1" applyAlignment="1">
      <alignment vertical="center"/>
    </xf>
    <xf numFmtId="0" fontId="23" fillId="0" borderId="3" xfId="3" applyNumberFormat="1" applyFont="1" applyFill="1" applyBorder="1" applyAlignment="1">
      <alignment horizontal="center" vertical="center"/>
    </xf>
    <xf numFmtId="0" fontId="22" fillId="0" borderId="3" xfId="1" applyFont="1" applyBorder="1" applyAlignment="1">
      <alignment vertical="center" wrapText="1"/>
    </xf>
    <xf numFmtId="177" fontId="22" fillId="0" borderId="50" xfId="3" applyNumberFormat="1" applyFont="1" applyFill="1" applyBorder="1" applyAlignment="1">
      <alignment vertical="center"/>
    </xf>
    <xf numFmtId="186" fontId="22" fillId="0" borderId="50" xfId="5" applyNumberFormat="1" applyFont="1" applyFill="1" applyBorder="1" applyAlignment="1">
      <alignment vertical="center"/>
    </xf>
    <xf numFmtId="0" fontId="23" fillId="0" borderId="1" xfId="3" applyNumberFormat="1" applyFont="1" applyFill="1" applyBorder="1" applyAlignment="1">
      <alignment horizontal="center" vertical="center"/>
    </xf>
    <xf numFmtId="0" fontId="22" fillId="0" borderId="40" xfId="1" applyFont="1" applyBorder="1" applyAlignment="1">
      <alignment vertical="center" wrapText="1"/>
    </xf>
    <xf numFmtId="0" fontId="23" fillId="0" borderId="0" xfId="3" applyNumberFormat="1" applyFont="1" applyFill="1" applyBorder="1" applyAlignment="1">
      <alignment horizontal="center" vertical="center" wrapText="1"/>
    </xf>
    <xf numFmtId="186" fontId="22" fillId="0" borderId="40" xfId="5" applyNumberFormat="1" applyFont="1" applyBorder="1">
      <alignment vertical="center"/>
    </xf>
    <xf numFmtId="0" fontId="22" fillId="0" borderId="40" xfId="1" applyFont="1" applyBorder="1" applyAlignment="1">
      <alignment horizontal="center" vertical="center"/>
    </xf>
    <xf numFmtId="177" fontId="22" fillId="6" borderId="40" xfId="1" applyNumberFormat="1" applyFont="1" applyFill="1" applyBorder="1" applyAlignment="1">
      <alignment horizontal="center" vertical="center"/>
    </xf>
    <xf numFmtId="177" fontId="22" fillId="6" borderId="40" xfId="1" applyNumberFormat="1" applyFont="1" applyFill="1" applyBorder="1" applyAlignment="1">
      <alignment horizontal="right" vertical="center"/>
    </xf>
    <xf numFmtId="177" fontId="22" fillId="0" borderId="40" xfId="1" applyNumberFormat="1" applyFont="1" applyBorder="1" applyAlignment="1">
      <alignment vertical="center"/>
    </xf>
    <xf numFmtId="186" fontId="22" fillId="0" borderId="50" xfId="5" applyNumberFormat="1" applyFont="1" applyBorder="1" applyAlignment="1">
      <alignment horizontal="right" vertical="center"/>
    </xf>
    <xf numFmtId="0" fontId="23" fillId="0" borderId="69" xfId="3" applyNumberFormat="1" applyFont="1" applyFill="1" applyBorder="1" applyAlignment="1">
      <alignment horizontal="center" vertical="center"/>
    </xf>
    <xf numFmtId="186" fontId="22" fillId="0" borderId="26" xfId="5" applyNumberFormat="1" applyFont="1" applyBorder="1" applyAlignment="1">
      <alignment horizontal="right" vertical="center"/>
    </xf>
    <xf numFmtId="0" fontId="29" fillId="0" borderId="1" xfId="1" applyFont="1" applyBorder="1" applyAlignment="1">
      <alignment horizontal="center" vertical="center"/>
    </xf>
    <xf numFmtId="0" fontId="29" fillId="0" borderId="1" xfId="1" applyFont="1" applyBorder="1" applyAlignment="1">
      <alignment horizontal="left" vertical="center"/>
    </xf>
    <xf numFmtId="41" fontId="29" fillId="0" borderId="1" xfId="3" applyFont="1" applyFill="1" applyBorder="1">
      <alignment vertical="center"/>
    </xf>
    <xf numFmtId="41" fontId="22" fillId="0" borderId="48" xfId="1" applyNumberFormat="1" applyFont="1" applyBorder="1">
      <alignment vertical="center"/>
    </xf>
    <xf numFmtId="181" fontId="22" fillId="0" borderId="3" xfId="1" applyNumberFormat="1" applyFont="1" applyBorder="1" applyAlignment="1">
      <alignment vertical="center" wrapText="1"/>
    </xf>
    <xf numFmtId="41" fontId="22" fillId="0" borderId="49" xfId="1" applyNumberFormat="1" applyFont="1" applyBorder="1">
      <alignment vertical="center"/>
    </xf>
    <xf numFmtId="0" fontId="23" fillId="0" borderId="69" xfId="1" applyFont="1" applyBorder="1" applyAlignment="1">
      <alignment horizontal="center" vertical="center" wrapText="1"/>
    </xf>
    <xf numFmtId="41" fontId="22" fillId="0" borderId="67" xfId="1" applyNumberFormat="1" applyFont="1" applyBorder="1">
      <alignment vertical="center"/>
    </xf>
    <xf numFmtId="0" fontId="22" fillId="0" borderId="26" xfId="1" applyFont="1" applyBorder="1" applyAlignment="1">
      <alignment horizontal="center" vertical="center" wrapText="1"/>
    </xf>
    <xf numFmtId="0" fontId="22" fillId="0" borderId="70" xfId="1" applyFont="1" applyBorder="1" applyAlignment="1">
      <alignment horizontal="center" vertical="center" wrapText="1"/>
    </xf>
    <xf numFmtId="0" fontId="22" fillId="0" borderId="75" xfId="1" applyFont="1" applyBorder="1" applyAlignment="1">
      <alignment horizontal="center" vertical="center" wrapText="1"/>
    </xf>
    <xf numFmtId="0" fontId="22" fillId="0" borderId="26" xfId="1" applyFont="1" applyBorder="1" applyAlignment="1">
      <alignment horizontal="center" vertical="center" wrapText="1"/>
    </xf>
    <xf numFmtId="186" fontId="22" fillId="0" borderId="26" xfId="5" applyNumberFormat="1" applyFont="1" applyBorder="1">
      <alignment vertical="center"/>
    </xf>
    <xf numFmtId="186" fontId="22" fillId="0" borderId="36" xfId="5" applyNumberFormat="1" applyFont="1" applyBorder="1">
      <alignment vertical="center"/>
    </xf>
    <xf numFmtId="0" fontId="22" fillId="0" borderId="1" xfId="3" applyNumberFormat="1" applyFont="1" applyFill="1" applyBorder="1" applyAlignment="1">
      <alignment vertical="center"/>
    </xf>
    <xf numFmtId="0" fontId="22" fillId="0" borderId="3" xfId="3" applyNumberFormat="1" applyFont="1" applyFill="1" applyBorder="1" applyAlignment="1">
      <alignment vertical="center"/>
    </xf>
    <xf numFmtId="0" fontId="22" fillId="0" borderId="36" xfId="1" applyFont="1" applyBorder="1" applyAlignment="1">
      <alignment horizontal="center" vertical="center" wrapText="1"/>
    </xf>
    <xf numFmtId="0" fontId="21" fillId="0" borderId="38" xfId="1" applyFont="1" applyBorder="1">
      <alignment vertical="center"/>
    </xf>
    <xf numFmtId="0" fontId="21" fillId="0" borderId="4" xfId="1" applyFont="1" applyBorder="1" applyAlignment="1">
      <alignment vertical="center" wrapText="1"/>
    </xf>
    <xf numFmtId="177" fontId="21" fillId="5" borderId="2" xfId="1" applyNumberFormat="1" applyFont="1" applyFill="1" applyBorder="1">
      <alignment vertical="center"/>
    </xf>
    <xf numFmtId="177" fontId="21" fillId="6" borderId="2" xfId="1" applyNumberFormat="1" applyFont="1" applyFill="1" applyBorder="1">
      <alignment vertical="center"/>
    </xf>
    <xf numFmtId="177" fontId="21" fillId="0" borderId="42" xfId="1" applyNumberFormat="1" applyFont="1" applyBorder="1">
      <alignment vertical="center"/>
    </xf>
    <xf numFmtId="186" fontId="21" fillId="0" borderId="42" xfId="5" applyNumberFormat="1" applyFont="1" applyBorder="1">
      <alignment vertical="center"/>
    </xf>
    <xf numFmtId="41" fontId="22" fillId="0" borderId="3" xfId="3" applyFont="1" applyFill="1" applyBorder="1" applyAlignment="1">
      <alignment vertical="center"/>
    </xf>
    <xf numFmtId="0" fontId="22" fillId="0" borderId="2" xfId="1" applyFont="1" applyBorder="1" applyAlignment="1">
      <alignment horizontal="left" vertical="center"/>
    </xf>
    <xf numFmtId="0" fontId="22" fillId="0" borderId="4" xfId="1" applyFont="1" applyBorder="1" applyAlignment="1">
      <alignment horizontal="left" vertical="center"/>
    </xf>
    <xf numFmtId="41" fontId="22" fillId="0" borderId="0" xfId="3" applyFont="1" applyFill="1" applyBorder="1" applyAlignment="1">
      <alignment vertical="center"/>
    </xf>
    <xf numFmtId="177" fontId="21" fillId="5" borderId="42" xfId="1" applyNumberFormat="1" applyFont="1" applyFill="1" applyBorder="1">
      <alignment vertical="center"/>
    </xf>
    <xf numFmtId="177" fontId="21" fillId="6" borderId="42" xfId="1" applyNumberFormat="1" applyFont="1" applyFill="1" applyBorder="1">
      <alignment vertical="center"/>
    </xf>
    <xf numFmtId="0" fontId="21" fillId="0" borderId="49" xfId="1" applyFont="1" applyBorder="1">
      <alignment vertical="center"/>
    </xf>
    <xf numFmtId="0" fontId="22" fillId="0" borderId="42" xfId="1" applyFont="1" applyBorder="1">
      <alignment vertical="center"/>
    </xf>
    <xf numFmtId="0" fontId="22" fillId="0" borderId="70" xfId="1" applyFont="1" applyBorder="1">
      <alignment vertical="center"/>
    </xf>
    <xf numFmtId="0" fontId="22" fillId="0" borderId="45" xfId="1" applyFont="1" applyBorder="1">
      <alignment vertical="center"/>
    </xf>
    <xf numFmtId="0" fontId="22" fillId="0" borderId="48" xfId="1" applyFont="1" applyBorder="1">
      <alignment vertical="center"/>
    </xf>
    <xf numFmtId="0" fontId="22" fillId="0" borderId="71" xfId="1" applyFont="1" applyBorder="1" applyAlignment="1">
      <alignment horizontal="left" vertical="center"/>
    </xf>
    <xf numFmtId="0" fontId="22" fillId="0" borderId="52" xfId="1" applyFont="1" applyBorder="1" applyAlignment="1">
      <alignment horizontal="left" vertical="center"/>
    </xf>
    <xf numFmtId="177" fontId="22" fillId="5" borderId="52" xfId="1" applyNumberFormat="1" applyFont="1" applyFill="1" applyBorder="1" applyAlignment="1">
      <alignment horizontal="right" vertical="center"/>
    </xf>
    <xf numFmtId="177" fontId="22" fillId="6" borderId="52" xfId="1" applyNumberFormat="1" applyFont="1" applyFill="1" applyBorder="1" applyAlignment="1">
      <alignment horizontal="right" vertical="center"/>
    </xf>
    <xf numFmtId="177" fontId="22" fillId="6" borderId="51" xfId="1" applyNumberFormat="1" applyFont="1" applyFill="1" applyBorder="1" applyAlignment="1">
      <alignment horizontal="right" vertical="center"/>
    </xf>
    <xf numFmtId="177" fontId="22" fillId="0" borderId="51" xfId="1" applyNumberFormat="1" applyFont="1" applyBorder="1" applyAlignment="1">
      <alignment horizontal="right" vertical="center"/>
    </xf>
    <xf numFmtId="186" fontId="22" fillId="0" borderId="51" xfId="5" applyNumberFormat="1" applyFont="1" applyBorder="1" applyAlignment="1">
      <alignment horizontal="right" vertical="center"/>
    </xf>
    <xf numFmtId="41" fontId="22" fillId="0" borderId="51" xfId="3" applyFont="1" applyFill="1" applyBorder="1" applyAlignment="1">
      <alignment horizontal="left" vertical="center"/>
    </xf>
    <xf numFmtId="0" fontId="23" fillId="0" borderId="72" xfId="1" applyFont="1" applyBorder="1" applyAlignment="1">
      <alignment horizontal="center" vertical="center"/>
    </xf>
    <xf numFmtId="41" fontId="22" fillId="0" borderId="72" xfId="3" applyFont="1" applyFill="1" applyBorder="1" applyAlignment="1">
      <alignment horizontal="left" vertical="center"/>
    </xf>
    <xf numFmtId="41" fontId="22" fillId="0" borderId="73" xfId="3" applyFont="1" applyFill="1" applyBorder="1">
      <alignment vertical="center"/>
    </xf>
    <xf numFmtId="0" fontId="29" fillId="0" borderId="0" xfId="1" applyFont="1" applyAlignment="1">
      <alignment horizontal="left" vertical="center"/>
    </xf>
    <xf numFmtId="177" fontId="29" fillId="0" borderId="0" xfId="1" applyNumberFormat="1" applyFont="1" applyAlignment="1">
      <alignment horizontal="right" vertical="center"/>
    </xf>
    <xf numFmtId="41" fontId="29" fillId="0" borderId="0" xfId="3" applyFont="1" applyFill="1" applyBorder="1" applyAlignment="1">
      <alignment horizontal="left" vertical="center"/>
    </xf>
    <xf numFmtId="0" fontId="29" fillId="0" borderId="0" xfId="1" applyFont="1" applyAlignment="1">
      <alignment horizontal="center" vertical="center"/>
    </xf>
    <xf numFmtId="41" fontId="29" fillId="0" borderId="0" xfId="3" applyFont="1" applyFill="1" applyBorder="1">
      <alignment vertical="center"/>
    </xf>
  </cellXfs>
  <cellStyles count="6">
    <cellStyle name="백분율" xfId="5" builtinId="5"/>
    <cellStyle name="쉼표 [0] 2" xfId="3" xr:uid="{82D0728A-A9A2-450E-91AB-E4A30A244D24}"/>
    <cellStyle name="표준" xfId="0" builtinId="0"/>
    <cellStyle name="표준 2" xfId="1" xr:uid="{32C8B4D4-188A-482F-9444-7E6AB08751C0}"/>
    <cellStyle name="표준_2004예산총괄표" xfId="2" xr:uid="{DDCC8F6B-006E-4297-8F25-9ED1B4FECEA9}"/>
    <cellStyle name="표준_2004예산총괄표_2005년 예산서총괄표(1)" xfId="4" xr:uid="{A0ADB752-CE21-4CF0-A519-F96EAC4224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3;&#48512;&#45432;&#51064;&#48373;&#51648;&#44288;/&#48513;&#48512;&#45432;&#51064;2019/&#50696;&#49328;&#49436;/2020&#45380;%20&#50868;&#50689;&#48708;%20&#50696;&#49328;&#49436;(3%25&#51064;&#49345;&#4851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세입세출명세서(운영비)"/>
      <sheetName val="세입명세서(운영비)"/>
      <sheetName val="세출명세서(운영비)"/>
      <sheetName val="Sheet1"/>
    </sheetNames>
    <sheetDataSet>
      <sheetData sheetId="0"/>
      <sheetData sheetId="1"/>
      <sheetData sheetId="2">
        <row r="8">
          <cell r="E8">
            <v>340000000</v>
          </cell>
          <cell r="F8">
            <v>340000000</v>
          </cell>
        </row>
        <row r="9">
          <cell r="E9">
            <v>13320000</v>
          </cell>
          <cell r="F9">
            <v>13320000</v>
          </cell>
        </row>
        <row r="13">
          <cell r="E13">
            <v>57600000</v>
          </cell>
          <cell r="F13">
            <v>57600000</v>
          </cell>
        </row>
        <row r="17">
          <cell r="E17">
            <v>51000000</v>
          </cell>
          <cell r="F17">
            <v>51000000</v>
          </cell>
        </row>
        <row r="22">
          <cell r="E22">
            <v>70112000</v>
          </cell>
          <cell r="F22">
            <v>36416000</v>
          </cell>
        </row>
        <row r="25">
          <cell r="E25">
            <v>10664000</v>
          </cell>
          <cell r="F25">
            <v>10664000</v>
          </cell>
        </row>
        <row r="29">
          <cell r="E29">
            <v>8000000</v>
          </cell>
          <cell r="F29">
            <v>10124000</v>
          </cell>
        </row>
        <row r="30">
          <cell r="E30">
            <v>0</v>
          </cell>
          <cell r="F30">
            <v>18754000</v>
          </cell>
        </row>
        <row r="33">
          <cell r="E33">
            <v>40000</v>
          </cell>
          <cell r="F33">
            <v>40000</v>
          </cell>
        </row>
        <row r="34">
          <cell r="E34">
            <v>4180000</v>
          </cell>
          <cell r="F34">
            <v>8180000</v>
          </cell>
        </row>
      </sheetData>
      <sheetData sheetId="3">
        <row r="7">
          <cell r="E7">
            <v>229395000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942AA-16D0-40F9-A47D-4AE21FEF7480}">
  <sheetPr>
    <pageSetUpPr fitToPage="1"/>
  </sheetPr>
  <dimension ref="A1:AH213"/>
  <sheetViews>
    <sheetView tabSelected="1" zoomScale="80" workbookViewId="0">
      <selection activeCell="Q8" sqref="Q8"/>
    </sheetView>
  </sheetViews>
  <sheetFormatPr defaultRowHeight="13.5" x14ac:dyDescent="0.15"/>
  <cols>
    <col min="1" max="1" width="11.125" style="1" customWidth="1"/>
    <col min="2" max="2" width="12.125" style="1" customWidth="1"/>
    <col min="3" max="3" width="38" style="1" bestFit="1" customWidth="1"/>
    <col min="4" max="4" width="13.375" style="1" hidden="1" customWidth="1"/>
    <col min="5" max="6" width="10.5" style="2" hidden="1" customWidth="1"/>
    <col min="7" max="7" width="0.125" style="2" hidden="1" customWidth="1"/>
    <col min="8" max="10" width="9" style="2" hidden="1" customWidth="1"/>
    <col min="11" max="12" width="11.75" style="2" hidden="1" customWidth="1"/>
    <col min="13" max="13" width="0.125" style="2" customWidth="1"/>
    <col min="14" max="15" width="12.375" style="2" bestFit="1" customWidth="1"/>
    <col min="16" max="16" width="13.75" style="2" bestFit="1" customWidth="1"/>
    <col min="17" max="17" width="8.625" style="2" bestFit="1" customWidth="1"/>
    <col min="18" max="18" width="11.25" style="19" customWidth="1"/>
    <col min="19" max="19" width="12.625" style="19" customWidth="1"/>
    <col min="20" max="20" width="30.625" style="19" bestFit="1" customWidth="1"/>
    <col min="21" max="21" width="0.375" style="19" hidden="1" customWidth="1"/>
    <col min="22" max="23" width="9" style="20" hidden="1" customWidth="1"/>
    <col min="24" max="26" width="11.625" style="20" hidden="1" customWidth="1"/>
    <col min="27" max="28" width="11.25" style="20" customWidth="1"/>
    <col min="29" max="29" width="13.75" style="20" bestFit="1" customWidth="1"/>
    <col min="30" max="30" width="9.75" style="1" customWidth="1"/>
    <col min="31" max="32" width="9" style="1"/>
    <col min="33" max="33" width="17.125" style="1" bestFit="1" customWidth="1"/>
    <col min="34" max="16384" width="9" style="1"/>
  </cols>
  <sheetData>
    <row r="1" spans="1:33" ht="27.75" customHeight="1" x14ac:dyDescent="0.3">
      <c r="A1" s="231" t="s">
        <v>622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</row>
    <row r="2" spans="1:33" ht="29.25" customHeight="1" thickBot="1" x14ac:dyDescent="0.2">
      <c r="N2" s="46"/>
      <c r="O2" s="46"/>
      <c r="P2" s="46"/>
      <c r="Q2" s="46"/>
      <c r="R2" s="3"/>
      <c r="S2" s="3"/>
      <c r="T2" s="3"/>
      <c r="U2" s="3"/>
      <c r="V2" s="4"/>
      <c r="W2" s="4"/>
      <c r="X2" s="4"/>
      <c r="Y2" s="4"/>
      <c r="Z2" s="4"/>
      <c r="AA2" s="232" t="s">
        <v>319</v>
      </c>
      <c r="AB2" s="232"/>
      <c r="AC2" s="232"/>
      <c r="AD2" s="232"/>
    </row>
    <row r="3" spans="1:33" s="5" customFormat="1" ht="24" customHeight="1" x14ac:dyDescent="0.3">
      <c r="A3" s="233" t="s">
        <v>7</v>
      </c>
      <c r="B3" s="235" t="s">
        <v>8</v>
      </c>
      <c r="C3" s="237" t="s">
        <v>9</v>
      </c>
      <c r="D3" s="237">
        <v>2016</v>
      </c>
      <c r="E3" s="235">
        <v>2017</v>
      </c>
      <c r="F3" s="237" t="s">
        <v>10</v>
      </c>
      <c r="G3" s="239">
        <v>2016</v>
      </c>
      <c r="H3" s="241" t="s">
        <v>77</v>
      </c>
      <c r="I3" s="241" t="s">
        <v>320</v>
      </c>
      <c r="J3" s="241" t="s">
        <v>320</v>
      </c>
      <c r="K3" s="241" t="s">
        <v>320</v>
      </c>
      <c r="L3" s="262" t="s">
        <v>13</v>
      </c>
      <c r="M3" s="262" t="s">
        <v>327</v>
      </c>
      <c r="N3" s="252" t="s">
        <v>383</v>
      </c>
      <c r="O3" s="252" t="s">
        <v>382</v>
      </c>
      <c r="P3" s="256" t="s">
        <v>377</v>
      </c>
      <c r="Q3" s="257"/>
      <c r="R3" s="254" t="s">
        <v>7</v>
      </c>
      <c r="S3" s="245" t="s">
        <v>8</v>
      </c>
      <c r="T3" s="247" t="s">
        <v>9</v>
      </c>
      <c r="U3" s="227" t="s">
        <v>77</v>
      </c>
      <c r="V3" s="227" t="s">
        <v>320</v>
      </c>
      <c r="W3" s="227" t="s">
        <v>320</v>
      </c>
      <c r="X3" s="227" t="s">
        <v>320</v>
      </c>
      <c r="Y3" s="243" t="s">
        <v>13</v>
      </c>
      <c r="Z3" s="243" t="s">
        <v>327</v>
      </c>
      <c r="AA3" s="223" t="s">
        <v>384</v>
      </c>
      <c r="AB3" s="223" t="s">
        <v>385</v>
      </c>
      <c r="AC3" s="225" t="s">
        <v>380</v>
      </c>
      <c r="AD3" s="226"/>
    </row>
    <row r="4" spans="1:33" s="5" customFormat="1" ht="24" customHeight="1" thickBot="1" x14ac:dyDescent="0.35">
      <c r="A4" s="234"/>
      <c r="B4" s="236"/>
      <c r="C4" s="238"/>
      <c r="D4" s="238"/>
      <c r="E4" s="236"/>
      <c r="F4" s="238"/>
      <c r="G4" s="240"/>
      <c r="H4" s="242"/>
      <c r="I4" s="242"/>
      <c r="J4" s="242"/>
      <c r="K4" s="242"/>
      <c r="L4" s="242"/>
      <c r="M4" s="242"/>
      <c r="N4" s="253"/>
      <c r="O4" s="253"/>
      <c r="P4" s="47" t="s">
        <v>378</v>
      </c>
      <c r="Q4" s="48" t="s">
        <v>379</v>
      </c>
      <c r="R4" s="255"/>
      <c r="S4" s="246"/>
      <c r="T4" s="248"/>
      <c r="U4" s="228"/>
      <c r="V4" s="228"/>
      <c r="W4" s="228"/>
      <c r="X4" s="228"/>
      <c r="Y4" s="228"/>
      <c r="Z4" s="228"/>
      <c r="AA4" s="224"/>
      <c r="AB4" s="224"/>
      <c r="AC4" s="49" t="s">
        <v>378</v>
      </c>
      <c r="AD4" s="49" t="s">
        <v>381</v>
      </c>
      <c r="AF4" s="6"/>
    </row>
    <row r="5" spans="1:33" s="5" customFormat="1" ht="24" customHeight="1" thickBot="1" x14ac:dyDescent="0.35">
      <c r="A5" s="249" t="s">
        <v>14</v>
      </c>
      <c r="B5" s="250"/>
      <c r="C5" s="251"/>
      <c r="D5" s="50" t="e">
        <f>D6+#REF!+D24+D27+D29+D34+D37</f>
        <v>#REF!</v>
      </c>
      <c r="E5" s="51" t="e">
        <f>E6+#REF!+E24+E27+E29+E34+E37</f>
        <v>#REF!</v>
      </c>
      <c r="F5" s="50" t="e">
        <f>F6+#REF!+F24+F27+F29+F34+F37</f>
        <v>#REF!</v>
      </c>
      <c r="G5" s="52" t="e">
        <f>G6+#REF!+G24+G27+G29+G34+G37</f>
        <v>#REF!</v>
      </c>
      <c r="H5" s="53">
        <f t="shared" ref="H5:O5" si="0">H6+H24+H27+H29+H34+H37</f>
        <v>730726000</v>
      </c>
      <c r="I5" s="53">
        <f t="shared" si="0"/>
        <v>748428000</v>
      </c>
      <c r="J5" s="53">
        <f t="shared" si="0"/>
        <v>708099000</v>
      </c>
      <c r="K5" s="53">
        <f t="shared" si="0"/>
        <v>690061000</v>
      </c>
      <c r="L5" s="53">
        <f t="shared" si="0"/>
        <v>751452000</v>
      </c>
      <c r="M5" s="53">
        <f t="shared" si="0"/>
        <v>767582000</v>
      </c>
      <c r="N5" s="53">
        <f t="shared" si="0"/>
        <v>3266576000</v>
      </c>
      <c r="O5" s="53">
        <f t="shared" si="0"/>
        <v>3223709000</v>
      </c>
      <c r="P5" s="54">
        <f>O5-N5</f>
        <v>-42867000</v>
      </c>
      <c r="Q5" s="55">
        <f>P5/N5</f>
        <v>-1.3122915248259951E-2</v>
      </c>
      <c r="R5" s="265" t="s">
        <v>14</v>
      </c>
      <c r="S5" s="266"/>
      <c r="T5" s="267"/>
      <c r="U5" s="56" t="e">
        <f t="shared" ref="U5:AB5" si="1">U6+U24+U29+U57+U60</f>
        <v>#REF!</v>
      </c>
      <c r="V5" s="56" t="e">
        <f t="shared" si="1"/>
        <v>#REF!</v>
      </c>
      <c r="W5" s="56" t="e">
        <f t="shared" si="1"/>
        <v>#REF!</v>
      </c>
      <c r="X5" s="56" t="e">
        <f t="shared" si="1"/>
        <v>#REF!</v>
      </c>
      <c r="Y5" s="56" t="e">
        <f t="shared" si="1"/>
        <v>#REF!</v>
      </c>
      <c r="Z5" s="56" t="e">
        <f t="shared" si="1"/>
        <v>#REF!</v>
      </c>
      <c r="AA5" s="56">
        <f t="shared" si="1"/>
        <v>3266576000</v>
      </c>
      <c r="AB5" s="56">
        <f t="shared" si="1"/>
        <v>3223709000</v>
      </c>
      <c r="AC5" s="56">
        <f>AB5-AA5</f>
        <v>-42867000</v>
      </c>
      <c r="AD5" s="57">
        <f>AC5/AA5</f>
        <v>-1.3122915248259951E-2</v>
      </c>
      <c r="AG5" s="6"/>
    </row>
    <row r="6" spans="1:33" s="7" customFormat="1" ht="24" customHeight="1" x14ac:dyDescent="0.3">
      <c r="A6" s="229" t="s">
        <v>15</v>
      </c>
      <c r="B6" s="58" t="s">
        <v>15</v>
      </c>
      <c r="C6" s="59" t="s">
        <v>16</v>
      </c>
      <c r="D6" s="60" t="e">
        <f t="shared" ref="D6:M6" si="2">SUM(D7:D9)</f>
        <v>#REF!</v>
      </c>
      <c r="E6" s="61">
        <f t="shared" si="2"/>
        <v>353320000</v>
      </c>
      <c r="F6" s="60">
        <f t="shared" si="2"/>
        <v>353320000</v>
      </c>
      <c r="G6" s="62">
        <f t="shared" si="2"/>
        <v>343950000</v>
      </c>
      <c r="H6" s="63">
        <f t="shared" si="2"/>
        <v>543976000</v>
      </c>
      <c r="I6" s="63">
        <f t="shared" si="2"/>
        <v>543976000</v>
      </c>
      <c r="J6" s="63">
        <f t="shared" si="2"/>
        <v>543976000</v>
      </c>
      <c r="K6" s="63">
        <f t="shared" si="2"/>
        <v>543976000</v>
      </c>
      <c r="L6" s="63">
        <f t="shared" si="2"/>
        <v>559895000</v>
      </c>
      <c r="M6" s="63">
        <f t="shared" si="2"/>
        <v>587223000</v>
      </c>
      <c r="N6" s="63">
        <f>N7+N8+N9+N10+N11+N12+N13+N14+N15+N16+N17+N18+N19</f>
        <v>2974270000</v>
      </c>
      <c r="O6" s="63">
        <f>O7+O8+O9+O10+O11+O12+O13+O14+O15+O16+O17+O18+O19</f>
        <v>2984209000</v>
      </c>
      <c r="P6" s="64">
        <f>O6-N6</f>
        <v>9939000</v>
      </c>
      <c r="Q6" s="65">
        <f>P6/N6</f>
        <v>3.3416603065626188E-3</v>
      </c>
      <c r="R6" s="66" t="s">
        <v>17</v>
      </c>
      <c r="S6" s="67" t="s">
        <v>18</v>
      </c>
      <c r="T6" s="68" t="s">
        <v>19</v>
      </c>
      <c r="U6" s="69">
        <f t="shared" ref="U6:AB6" si="3">U7+U13+U17</f>
        <v>560251000</v>
      </c>
      <c r="V6" s="69">
        <f t="shared" si="3"/>
        <v>556005000</v>
      </c>
      <c r="W6" s="69">
        <f t="shared" si="3"/>
        <v>539239000</v>
      </c>
      <c r="X6" s="69">
        <f t="shared" si="3"/>
        <v>531573000</v>
      </c>
      <c r="Y6" s="69">
        <f t="shared" si="3"/>
        <v>577397000</v>
      </c>
      <c r="Z6" s="69">
        <f t="shared" si="3"/>
        <v>572249000</v>
      </c>
      <c r="AA6" s="69">
        <f t="shared" si="3"/>
        <v>577766000</v>
      </c>
      <c r="AB6" s="69">
        <f t="shared" si="3"/>
        <v>589869000</v>
      </c>
      <c r="AC6" s="70">
        <f>AB6-AA6</f>
        <v>12103000</v>
      </c>
      <c r="AD6" s="71">
        <f>AC6/AA6</f>
        <v>2.0947927015435314E-2</v>
      </c>
      <c r="AF6" s="8"/>
    </row>
    <row r="7" spans="1:33" s="7" customFormat="1" ht="24" customHeight="1" x14ac:dyDescent="0.3">
      <c r="A7" s="230"/>
      <c r="B7" s="72">
        <f>N6/N5*100</f>
        <v>91.051608779345713</v>
      </c>
      <c r="C7" s="208" t="s">
        <v>20</v>
      </c>
      <c r="D7" s="74" t="e">
        <f>#REF!</f>
        <v>#REF!</v>
      </c>
      <c r="E7" s="75">
        <f>'[1]세입명세서(운영비)'!E8</f>
        <v>340000000</v>
      </c>
      <c r="F7" s="74">
        <f>'[1]세입명세서(운영비)'!F8</f>
        <v>340000000</v>
      </c>
      <c r="G7" s="76">
        <v>330750000</v>
      </c>
      <c r="H7" s="77">
        <f>세입명세서!M9</f>
        <v>530656000</v>
      </c>
      <c r="I7" s="77">
        <f>세입명세서!N9</f>
        <v>530656000</v>
      </c>
      <c r="J7" s="77">
        <f>세입명세서!O9</f>
        <v>530656000</v>
      </c>
      <c r="K7" s="77">
        <f>세입명세서!P9</f>
        <v>530656000</v>
      </c>
      <c r="L7" s="77">
        <f>세입명세서!Q9</f>
        <v>546575000</v>
      </c>
      <c r="M7" s="77">
        <f>세입명세서!R9</f>
        <v>573903000</v>
      </c>
      <c r="N7" s="77">
        <f>세입명세서!S9</f>
        <v>546575000</v>
      </c>
      <c r="O7" s="77">
        <f>세입명세서!T9</f>
        <v>573903000</v>
      </c>
      <c r="P7" s="78">
        <f>O7-N7</f>
        <v>27328000</v>
      </c>
      <c r="Q7" s="79">
        <f t="shared" ref="Q7:Q39" si="4">P7/N7</f>
        <v>4.9998627818689106E-2</v>
      </c>
      <c r="R7" s="80">
        <f>AA6/AA5*100</f>
        <v>17.687205195899313</v>
      </c>
      <c r="S7" s="81" t="s">
        <v>21</v>
      </c>
      <c r="T7" s="82" t="s">
        <v>16</v>
      </c>
      <c r="U7" s="83">
        <f t="shared" ref="U7:AB7" si="5">SUM(U8:U12)</f>
        <v>430467000</v>
      </c>
      <c r="V7" s="83">
        <f t="shared" si="5"/>
        <v>423479000</v>
      </c>
      <c r="W7" s="83">
        <f t="shared" si="5"/>
        <v>419983000</v>
      </c>
      <c r="X7" s="83">
        <f t="shared" si="5"/>
        <v>419287000</v>
      </c>
      <c r="Y7" s="83">
        <f t="shared" si="5"/>
        <v>435297000</v>
      </c>
      <c r="Z7" s="83">
        <f t="shared" si="5"/>
        <v>434249000</v>
      </c>
      <c r="AA7" s="83">
        <f t="shared" si="5"/>
        <v>439359000</v>
      </c>
      <c r="AB7" s="83">
        <f t="shared" si="5"/>
        <v>447801000</v>
      </c>
      <c r="AC7" s="83">
        <f>AB7-AA7</f>
        <v>8442000</v>
      </c>
      <c r="AD7" s="84">
        <f>AC7/AA7</f>
        <v>1.9214355458747858E-2</v>
      </c>
    </row>
    <row r="8" spans="1:33" s="7" customFormat="1" ht="24" customHeight="1" x14ac:dyDescent="0.3">
      <c r="A8" s="85"/>
      <c r="B8" s="206"/>
      <c r="C8" s="207"/>
      <c r="D8" s="74"/>
      <c r="E8" s="75"/>
      <c r="F8" s="74"/>
      <c r="G8" s="76"/>
      <c r="H8" s="77"/>
      <c r="I8" s="77"/>
      <c r="J8" s="77"/>
      <c r="K8" s="77"/>
      <c r="L8" s="77"/>
      <c r="M8" s="77"/>
      <c r="N8" s="77">
        <v>0</v>
      </c>
      <c r="O8" s="77">
        <f>세입명세서!T10</f>
        <v>10000000</v>
      </c>
      <c r="P8" s="78">
        <f>세입명세서!U10</f>
        <v>10000000</v>
      </c>
      <c r="Q8" s="79">
        <f>세입명세서!V10</f>
        <v>0</v>
      </c>
      <c r="R8" s="88"/>
      <c r="S8" s="89">
        <f>AA7/AA5*100</f>
        <v>13.450138616092202</v>
      </c>
      <c r="T8" s="90" t="s">
        <v>23</v>
      </c>
      <c r="U8" s="91">
        <f>세출명세서!M8</f>
        <v>282641000</v>
      </c>
      <c r="V8" s="91">
        <f>세출명세서!N8</f>
        <v>282436000</v>
      </c>
      <c r="W8" s="91">
        <f>세출명세서!O8</f>
        <v>280156000</v>
      </c>
      <c r="X8" s="91">
        <f>세출명세서!P8</f>
        <v>279703000</v>
      </c>
      <c r="Y8" s="91">
        <f>세출명세서!Q8</f>
        <v>293574000</v>
      </c>
      <c r="Z8" s="91">
        <f>세출명세서!R8</f>
        <v>292439000</v>
      </c>
      <c r="AA8" s="91">
        <f>세출명세서!S8</f>
        <v>297260000</v>
      </c>
      <c r="AB8" s="91">
        <f>세출명세서!T8</f>
        <v>304183000</v>
      </c>
      <c r="AC8" s="91">
        <f>AB8-AA8</f>
        <v>6923000</v>
      </c>
      <c r="AD8" s="92">
        <f>AC8/AA8</f>
        <v>2.3289376303572629E-2</v>
      </c>
      <c r="AG8" s="8"/>
    </row>
    <row r="9" spans="1:33" s="7" customFormat="1" ht="24" customHeight="1" x14ac:dyDescent="0.3">
      <c r="A9" s="85"/>
      <c r="B9" s="86"/>
      <c r="C9" s="87" t="s">
        <v>22</v>
      </c>
      <c r="D9" s="74" t="e">
        <f>#REF!</f>
        <v>#REF!</v>
      </c>
      <c r="E9" s="75">
        <f>'[1]세입명세서(운영비)'!E9</f>
        <v>13320000</v>
      </c>
      <c r="F9" s="74">
        <f>'[1]세입명세서(운영비)'!F9</f>
        <v>13320000</v>
      </c>
      <c r="G9" s="76">
        <v>13200000</v>
      </c>
      <c r="H9" s="77">
        <f>세입명세서!M12</f>
        <v>13320000</v>
      </c>
      <c r="I9" s="77">
        <f>세입명세서!N12</f>
        <v>13320000</v>
      </c>
      <c r="J9" s="77">
        <f>세입명세서!O12</f>
        <v>13320000</v>
      </c>
      <c r="K9" s="77">
        <f>세입명세서!P12</f>
        <v>13320000</v>
      </c>
      <c r="L9" s="77">
        <f>세입명세서!Q12</f>
        <v>13320000</v>
      </c>
      <c r="M9" s="77">
        <f>세입명세서!R12</f>
        <v>13320000</v>
      </c>
      <c r="N9" s="77">
        <f>세입명세서!S12</f>
        <v>12720000</v>
      </c>
      <c r="O9" s="77">
        <f>세입명세서!T12</f>
        <v>12720000</v>
      </c>
      <c r="P9" s="78">
        <f t="shared" ref="P9:P38" si="6">O9-N9</f>
        <v>0</v>
      </c>
      <c r="Q9" s="79">
        <f t="shared" si="4"/>
        <v>0</v>
      </c>
      <c r="R9" s="88"/>
      <c r="S9" s="101"/>
      <c r="T9" s="90" t="s">
        <v>24</v>
      </c>
      <c r="U9" s="91">
        <f>세출명세서!M24</f>
        <v>13200000</v>
      </c>
      <c r="V9" s="91">
        <f>세출명세서!N24</f>
        <v>13200000</v>
      </c>
      <c r="W9" s="91">
        <f>세출명세서!O24</f>
        <v>13200000</v>
      </c>
      <c r="X9" s="91">
        <f>세출명세서!P24</f>
        <v>13200000</v>
      </c>
      <c r="Y9" s="91">
        <f>세출명세서!Q24</f>
        <v>13200000</v>
      </c>
      <c r="Z9" s="91">
        <f>세출명세서!R24</f>
        <v>13200000</v>
      </c>
      <c r="AA9" s="91">
        <f>세출명세서!S24</f>
        <v>13200000</v>
      </c>
      <c r="AB9" s="91">
        <f>세출명세서!T24</f>
        <v>13200000</v>
      </c>
      <c r="AC9" s="91">
        <f t="shared" ref="AC9:AC62" si="7">AB9-AA9</f>
        <v>0</v>
      </c>
      <c r="AD9" s="92">
        <f t="shared" ref="AD9:AD62" si="8">AC9/AA9</f>
        <v>0</v>
      </c>
      <c r="AF9" s="8"/>
      <c r="AG9" s="8"/>
    </row>
    <row r="10" spans="1:33" s="7" customFormat="1" ht="24" customHeight="1" x14ac:dyDescent="0.3">
      <c r="A10" s="214"/>
      <c r="B10" s="86"/>
      <c r="C10" s="216" t="s">
        <v>456</v>
      </c>
      <c r="D10" s="74"/>
      <c r="E10" s="75"/>
      <c r="F10" s="74"/>
      <c r="G10" s="76"/>
      <c r="H10" s="77"/>
      <c r="I10" s="77"/>
      <c r="J10" s="77"/>
      <c r="K10" s="77"/>
      <c r="L10" s="77"/>
      <c r="M10" s="77"/>
      <c r="N10" s="77">
        <f>세입명세서!S14</f>
        <v>25000000</v>
      </c>
      <c r="O10" s="77">
        <f>세입명세서!T14</f>
        <v>28463000</v>
      </c>
      <c r="P10" s="78">
        <f t="shared" ref="P10:P23" si="9">O10-N10</f>
        <v>3463000</v>
      </c>
      <c r="Q10" s="79">
        <f t="shared" ref="Q10:Q23" si="10">P10/N10</f>
        <v>0.13852</v>
      </c>
      <c r="R10" s="88"/>
      <c r="S10" s="101"/>
      <c r="T10" s="90" t="s">
        <v>25</v>
      </c>
      <c r="U10" s="91">
        <f>세출명세서!M26</f>
        <v>70633000</v>
      </c>
      <c r="V10" s="91">
        <f>세출명세서!N26</f>
        <v>64007000</v>
      </c>
      <c r="W10" s="91">
        <f>세출명세서!O26</f>
        <v>63059000</v>
      </c>
      <c r="X10" s="91">
        <f>세출명세서!P26</f>
        <v>62618000</v>
      </c>
      <c r="Y10" s="91">
        <f>세출명세서!Q26</f>
        <v>63312000</v>
      </c>
      <c r="Z10" s="91">
        <f>세출명세서!R26</f>
        <v>63159000</v>
      </c>
      <c r="AA10" s="91">
        <f>세출명세서!S26</f>
        <v>62633000</v>
      </c>
      <c r="AB10" s="91">
        <f>세출명세서!T26</f>
        <v>64999000</v>
      </c>
      <c r="AC10" s="91">
        <f t="shared" si="7"/>
        <v>2366000</v>
      </c>
      <c r="AD10" s="92">
        <f t="shared" si="8"/>
        <v>3.7775613494483738E-2</v>
      </c>
      <c r="AF10" s="8"/>
      <c r="AG10" s="8"/>
    </row>
    <row r="11" spans="1:33" s="7" customFormat="1" ht="24" customHeight="1" x14ac:dyDescent="0.3">
      <c r="A11" s="214"/>
      <c r="B11" s="86"/>
      <c r="C11" s="216" t="s">
        <v>455</v>
      </c>
      <c r="D11" s="74"/>
      <c r="E11" s="75"/>
      <c r="F11" s="74"/>
      <c r="G11" s="76"/>
      <c r="H11" s="77"/>
      <c r="I11" s="77"/>
      <c r="J11" s="77"/>
      <c r="K11" s="77"/>
      <c r="L11" s="77"/>
      <c r="M11" s="77"/>
      <c r="N11" s="77">
        <f>세입명세서!S15</f>
        <v>40200000</v>
      </c>
      <c r="O11" s="77">
        <f>세입명세서!T15</f>
        <v>52259000</v>
      </c>
      <c r="P11" s="78">
        <f t="shared" si="9"/>
        <v>12059000</v>
      </c>
      <c r="Q11" s="79">
        <f t="shared" si="10"/>
        <v>0.29997512437810947</v>
      </c>
      <c r="R11" s="88"/>
      <c r="S11" s="101"/>
      <c r="T11" s="108" t="s">
        <v>26</v>
      </c>
      <c r="U11" s="91">
        <f>세출명세서!M36</f>
        <v>28938000</v>
      </c>
      <c r="V11" s="91">
        <f>세출명세서!N36</f>
        <v>29579000</v>
      </c>
      <c r="W11" s="91">
        <f>세출명세서!O36</f>
        <v>29311000</v>
      </c>
      <c r="X11" s="91">
        <f>세출명세서!P36</f>
        <v>29509000</v>
      </c>
      <c r="Y11" s="91">
        <f>세출명세서!Q36</f>
        <v>30573000</v>
      </c>
      <c r="Z11" s="91">
        <f>세출명세서!R36</f>
        <v>30474000</v>
      </c>
      <c r="AA11" s="91">
        <f>세출명세서!S36</f>
        <v>30833000</v>
      </c>
      <c r="AB11" s="91">
        <f>세출명세서!T36</f>
        <v>30546000</v>
      </c>
      <c r="AC11" s="91">
        <f t="shared" si="7"/>
        <v>-287000</v>
      </c>
      <c r="AD11" s="92">
        <f t="shared" si="8"/>
        <v>-9.3082087373917554E-3</v>
      </c>
      <c r="AF11" s="8"/>
      <c r="AG11" s="8"/>
    </row>
    <row r="12" spans="1:33" s="7" customFormat="1" ht="24" customHeight="1" x14ac:dyDescent="0.3">
      <c r="A12" s="214"/>
      <c r="B12" s="86"/>
      <c r="C12" s="216" t="s">
        <v>457</v>
      </c>
      <c r="D12" s="74"/>
      <c r="E12" s="75"/>
      <c r="F12" s="74"/>
      <c r="G12" s="76"/>
      <c r="H12" s="77"/>
      <c r="I12" s="77"/>
      <c r="J12" s="77"/>
      <c r="K12" s="77"/>
      <c r="L12" s="77"/>
      <c r="M12" s="77"/>
      <c r="N12" s="77">
        <f>세입명세서!S16</f>
        <v>15000000</v>
      </c>
      <c r="O12" s="77">
        <f>세입명세서!T16</f>
        <v>15093000</v>
      </c>
      <c r="P12" s="78">
        <f t="shared" si="9"/>
        <v>93000</v>
      </c>
      <c r="Q12" s="79">
        <f t="shared" si="10"/>
        <v>6.1999999999999998E-3</v>
      </c>
      <c r="R12" s="88"/>
      <c r="S12" s="101"/>
      <c r="T12" s="116" t="s">
        <v>27</v>
      </c>
      <c r="U12" s="91">
        <f>세출명세서!M41</f>
        <v>35055000</v>
      </c>
      <c r="V12" s="91">
        <f>세출명세서!N41</f>
        <v>34257000</v>
      </c>
      <c r="W12" s="91">
        <f>세출명세서!O41</f>
        <v>34257000</v>
      </c>
      <c r="X12" s="91">
        <f>세출명세서!P41</f>
        <v>34257000</v>
      </c>
      <c r="Y12" s="91">
        <f>세출명세서!Q41</f>
        <v>34638000</v>
      </c>
      <c r="Z12" s="91">
        <f>세출명세서!R41</f>
        <v>34977000</v>
      </c>
      <c r="AA12" s="91">
        <f>세출명세서!S41</f>
        <v>35433000</v>
      </c>
      <c r="AB12" s="91">
        <f>세출명세서!T41</f>
        <v>34873000</v>
      </c>
      <c r="AC12" s="91">
        <f t="shared" si="7"/>
        <v>-560000</v>
      </c>
      <c r="AD12" s="92">
        <f t="shared" si="8"/>
        <v>-1.5804476053396552E-2</v>
      </c>
      <c r="AF12" s="8"/>
      <c r="AG12" s="8"/>
    </row>
    <row r="13" spans="1:33" s="7" customFormat="1" ht="24" customHeight="1" x14ac:dyDescent="0.3">
      <c r="A13" s="214"/>
      <c r="B13" s="86"/>
      <c r="C13" s="216" t="s">
        <v>458</v>
      </c>
      <c r="D13" s="74"/>
      <c r="E13" s="75"/>
      <c r="F13" s="74"/>
      <c r="G13" s="76"/>
      <c r="H13" s="77"/>
      <c r="I13" s="77"/>
      <c r="J13" s="77"/>
      <c r="K13" s="77"/>
      <c r="L13" s="77"/>
      <c r="M13" s="77"/>
      <c r="N13" s="77">
        <f>세입명세서!S17</f>
        <v>2089200000</v>
      </c>
      <c r="O13" s="77">
        <f>세입명세서!T17</f>
        <v>2070360000</v>
      </c>
      <c r="P13" s="78">
        <f t="shared" si="9"/>
        <v>-18840000</v>
      </c>
      <c r="Q13" s="79">
        <f t="shared" si="10"/>
        <v>-9.0178058587018963E-3</v>
      </c>
      <c r="R13" s="88"/>
      <c r="S13" s="81" t="s">
        <v>28</v>
      </c>
      <c r="T13" s="119" t="s">
        <v>16</v>
      </c>
      <c r="U13" s="120">
        <f t="shared" ref="U13:AB13" si="11">SUM(U14:U16)</f>
        <v>10640000</v>
      </c>
      <c r="V13" s="120">
        <f t="shared" si="11"/>
        <v>10640000</v>
      </c>
      <c r="W13" s="120">
        <f t="shared" si="11"/>
        <v>10640000</v>
      </c>
      <c r="X13" s="120">
        <f t="shared" si="11"/>
        <v>10640000</v>
      </c>
      <c r="Y13" s="120">
        <f t="shared" si="11"/>
        <v>10640000</v>
      </c>
      <c r="Z13" s="120">
        <f t="shared" si="11"/>
        <v>10640000</v>
      </c>
      <c r="AA13" s="120">
        <f t="shared" si="11"/>
        <v>10140000</v>
      </c>
      <c r="AB13" s="120">
        <f t="shared" si="11"/>
        <v>10380000</v>
      </c>
      <c r="AC13" s="121">
        <f t="shared" si="7"/>
        <v>240000</v>
      </c>
      <c r="AD13" s="122">
        <f t="shared" si="8"/>
        <v>2.3668639053254437E-2</v>
      </c>
      <c r="AF13" s="8"/>
      <c r="AG13" s="8"/>
    </row>
    <row r="14" spans="1:33" s="7" customFormat="1" ht="24" customHeight="1" x14ac:dyDescent="0.3">
      <c r="A14" s="214"/>
      <c r="B14" s="86"/>
      <c r="C14" s="216" t="s">
        <v>459</v>
      </c>
      <c r="D14" s="74"/>
      <c r="E14" s="75"/>
      <c r="F14" s="74"/>
      <c r="G14" s="76"/>
      <c r="H14" s="77"/>
      <c r="I14" s="77"/>
      <c r="J14" s="77"/>
      <c r="K14" s="77"/>
      <c r="L14" s="77"/>
      <c r="M14" s="77"/>
      <c r="N14" s="77">
        <f>세입명세서!S19</f>
        <v>125158000</v>
      </c>
      <c r="O14" s="77">
        <f>세입명세서!T19</f>
        <v>134750000</v>
      </c>
      <c r="P14" s="78">
        <f t="shared" si="9"/>
        <v>9592000</v>
      </c>
      <c r="Q14" s="79">
        <f t="shared" si="10"/>
        <v>7.6639128142028473E-2</v>
      </c>
      <c r="R14" s="88"/>
      <c r="S14" s="124"/>
      <c r="T14" s="125" t="s">
        <v>29</v>
      </c>
      <c r="U14" s="126">
        <f>세출명세서!M47</f>
        <v>1200000</v>
      </c>
      <c r="V14" s="126">
        <f>세출명세서!N47</f>
        <v>1200000</v>
      </c>
      <c r="W14" s="126">
        <f>세출명세서!O47</f>
        <v>1200000</v>
      </c>
      <c r="X14" s="126">
        <f>세출명세서!P47</f>
        <v>1200000</v>
      </c>
      <c r="Y14" s="126">
        <f>세출명세서!Q47</f>
        <v>1200000</v>
      </c>
      <c r="Z14" s="126">
        <f>세출명세서!R47</f>
        <v>1200000</v>
      </c>
      <c r="AA14" s="126">
        <f>세출명세서!S47</f>
        <v>1200000</v>
      </c>
      <c r="AB14" s="126">
        <f>세출명세서!T47</f>
        <v>1200000</v>
      </c>
      <c r="AC14" s="91">
        <f t="shared" si="7"/>
        <v>0</v>
      </c>
      <c r="AD14" s="92">
        <f t="shared" si="8"/>
        <v>0</v>
      </c>
      <c r="AF14" s="8"/>
      <c r="AG14" s="8"/>
    </row>
    <row r="15" spans="1:33" s="7" customFormat="1" ht="24" customHeight="1" x14ac:dyDescent="0.3">
      <c r="A15" s="214"/>
      <c r="B15" s="86"/>
      <c r="C15" s="216" t="s">
        <v>460</v>
      </c>
      <c r="D15" s="74"/>
      <c r="E15" s="75"/>
      <c r="F15" s="74"/>
      <c r="G15" s="76"/>
      <c r="H15" s="77"/>
      <c r="I15" s="77"/>
      <c r="J15" s="77"/>
      <c r="K15" s="77"/>
      <c r="L15" s="77"/>
      <c r="M15" s="77"/>
      <c r="N15" s="77">
        <f>세입명세서!S20</f>
        <v>28060000</v>
      </c>
      <c r="O15" s="77">
        <f>세입명세서!T20</f>
        <v>29562000</v>
      </c>
      <c r="P15" s="78">
        <f t="shared" si="9"/>
        <v>1502000</v>
      </c>
      <c r="Q15" s="79">
        <f t="shared" si="10"/>
        <v>5.3528153955808983E-2</v>
      </c>
      <c r="R15" s="88"/>
      <c r="S15" s="132">
        <f>AA13/AA5*100</f>
        <v>0.31041677891468011</v>
      </c>
      <c r="T15" s="133" t="s">
        <v>30</v>
      </c>
      <c r="U15" s="134">
        <f>세출명세서!M48</f>
        <v>7800000</v>
      </c>
      <c r="V15" s="134">
        <f>세출명세서!N48</f>
        <v>7800000</v>
      </c>
      <c r="W15" s="134">
        <f>세출명세서!O48</f>
        <v>7800000</v>
      </c>
      <c r="X15" s="134">
        <f>세출명세서!P48</f>
        <v>7800000</v>
      </c>
      <c r="Y15" s="134">
        <f>세출명세서!Q48</f>
        <v>7800000</v>
      </c>
      <c r="Z15" s="134">
        <f>세출명세서!R48</f>
        <v>7800000</v>
      </c>
      <c r="AA15" s="134">
        <f>세출명세서!S48</f>
        <v>7100000</v>
      </c>
      <c r="AB15" s="134">
        <f>세출명세서!T48</f>
        <v>7000000</v>
      </c>
      <c r="AC15" s="91">
        <f t="shared" si="7"/>
        <v>-100000</v>
      </c>
      <c r="AD15" s="92">
        <f t="shared" si="8"/>
        <v>-1.4084507042253521E-2</v>
      </c>
      <c r="AF15" s="8"/>
      <c r="AG15" s="8"/>
    </row>
    <row r="16" spans="1:33" s="7" customFormat="1" ht="24" customHeight="1" x14ac:dyDescent="0.3">
      <c r="A16" s="214"/>
      <c r="B16" s="86"/>
      <c r="C16" s="216" t="s">
        <v>461</v>
      </c>
      <c r="D16" s="74"/>
      <c r="E16" s="75"/>
      <c r="F16" s="74"/>
      <c r="G16" s="76"/>
      <c r="H16" s="77"/>
      <c r="I16" s="77"/>
      <c r="J16" s="77"/>
      <c r="K16" s="77"/>
      <c r="L16" s="77"/>
      <c r="M16" s="77"/>
      <c r="N16" s="77">
        <f>세입명세서!S21</f>
        <v>0</v>
      </c>
      <c r="O16" s="77">
        <f>세입명세서!T21</f>
        <v>15432000</v>
      </c>
      <c r="P16" s="78">
        <f t="shared" si="9"/>
        <v>15432000</v>
      </c>
      <c r="Q16" s="79">
        <v>0</v>
      </c>
      <c r="R16" s="88"/>
      <c r="S16" s="132"/>
      <c r="T16" s="133" t="s">
        <v>31</v>
      </c>
      <c r="U16" s="134">
        <f>세출명세서!M51</f>
        <v>1640000</v>
      </c>
      <c r="V16" s="134">
        <f>세출명세서!N51</f>
        <v>1640000</v>
      </c>
      <c r="W16" s="134">
        <f>세출명세서!O51</f>
        <v>1640000</v>
      </c>
      <c r="X16" s="134">
        <f>세출명세서!P51</f>
        <v>1640000</v>
      </c>
      <c r="Y16" s="134">
        <f>세출명세서!Q51</f>
        <v>1640000</v>
      </c>
      <c r="Z16" s="134">
        <f>세출명세서!R51</f>
        <v>1640000</v>
      </c>
      <c r="AA16" s="134">
        <f>세출명세서!S51</f>
        <v>1840000</v>
      </c>
      <c r="AB16" s="134">
        <f>세출명세서!T51</f>
        <v>2180000</v>
      </c>
      <c r="AC16" s="91">
        <f t="shared" si="7"/>
        <v>340000</v>
      </c>
      <c r="AD16" s="92">
        <f t="shared" si="8"/>
        <v>0.18478260869565216</v>
      </c>
      <c r="AF16" s="8"/>
      <c r="AG16" s="8"/>
    </row>
    <row r="17" spans="1:34" s="7" customFormat="1" ht="24" customHeight="1" x14ac:dyDescent="0.3">
      <c r="A17" s="214"/>
      <c r="B17" s="86"/>
      <c r="C17" s="216" t="s">
        <v>462</v>
      </c>
      <c r="D17" s="74"/>
      <c r="E17" s="75"/>
      <c r="F17" s="74"/>
      <c r="G17" s="76"/>
      <c r="H17" s="77"/>
      <c r="I17" s="77"/>
      <c r="J17" s="77"/>
      <c r="K17" s="77"/>
      <c r="L17" s="77"/>
      <c r="M17" s="77"/>
      <c r="N17" s="77">
        <f>세입명세서!S22</f>
        <v>37532000</v>
      </c>
      <c r="O17" s="77">
        <f>세입명세서!T22</f>
        <v>41167000</v>
      </c>
      <c r="P17" s="78">
        <f t="shared" si="9"/>
        <v>3635000</v>
      </c>
      <c r="Q17" s="79">
        <f t="shared" si="10"/>
        <v>9.685068741340723E-2</v>
      </c>
      <c r="R17" s="88"/>
      <c r="S17" s="136" t="s">
        <v>32</v>
      </c>
      <c r="T17" s="137" t="s">
        <v>16</v>
      </c>
      <c r="U17" s="138">
        <f>SUM(U18:U23)</f>
        <v>119144000</v>
      </c>
      <c r="V17" s="138">
        <f>SUM(V18:V23)</f>
        <v>121886000</v>
      </c>
      <c r="W17" s="138">
        <f>SUM(W18:W23)</f>
        <v>108616000</v>
      </c>
      <c r="X17" s="138">
        <f>SUM(X18:X23)</f>
        <v>101646000</v>
      </c>
      <c r="Y17" s="138">
        <f t="shared" ref="Y17:AA17" si="12">SUM(Y18:Y23)</f>
        <v>131460000</v>
      </c>
      <c r="Z17" s="138">
        <f t="shared" ref="Z17" si="13">SUM(Z18:Z23)</f>
        <v>127360000</v>
      </c>
      <c r="AA17" s="138">
        <f t="shared" si="12"/>
        <v>128267000</v>
      </c>
      <c r="AB17" s="138">
        <f t="shared" ref="AB17" si="14">SUM(AB18:AB23)</f>
        <v>131688000</v>
      </c>
      <c r="AC17" s="121">
        <f t="shared" si="7"/>
        <v>3421000</v>
      </c>
      <c r="AD17" s="122">
        <f t="shared" si="8"/>
        <v>2.6670928609852883E-2</v>
      </c>
      <c r="AF17" s="8"/>
      <c r="AG17" s="8"/>
    </row>
    <row r="18" spans="1:34" s="7" customFormat="1" ht="24" customHeight="1" x14ac:dyDescent="0.3">
      <c r="A18" s="214"/>
      <c r="B18" s="86"/>
      <c r="C18" s="216" t="s">
        <v>463</v>
      </c>
      <c r="D18" s="74"/>
      <c r="E18" s="75"/>
      <c r="F18" s="74"/>
      <c r="G18" s="76"/>
      <c r="H18" s="77"/>
      <c r="I18" s="77"/>
      <c r="J18" s="77"/>
      <c r="K18" s="77"/>
      <c r="L18" s="77"/>
      <c r="M18" s="77"/>
      <c r="N18" s="77">
        <f>세입명세서!S23</f>
        <v>32200000</v>
      </c>
      <c r="O18" s="77">
        <f>세입명세서!T23</f>
        <v>0</v>
      </c>
      <c r="P18" s="78">
        <f t="shared" si="9"/>
        <v>-32200000</v>
      </c>
      <c r="Q18" s="79">
        <f t="shared" si="10"/>
        <v>-1</v>
      </c>
      <c r="R18" s="88"/>
      <c r="S18" s="89">
        <f>AA17/AA5*100</f>
        <v>3.9266498008924331</v>
      </c>
      <c r="T18" s="140" t="s">
        <v>33</v>
      </c>
      <c r="U18" s="141">
        <f>세출명세서!M60</f>
        <v>2400000</v>
      </c>
      <c r="V18" s="141">
        <f>세출명세서!N60</f>
        <v>2400000</v>
      </c>
      <c r="W18" s="141">
        <f>세출명세서!O60</f>
        <v>1200000</v>
      </c>
      <c r="X18" s="141">
        <f>세출명세서!P60</f>
        <v>1200000</v>
      </c>
      <c r="Y18" s="141">
        <f>세출명세서!Q60</f>
        <v>2400000</v>
      </c>
      <c r="Z18" s="141">
        <f>세출명세서!R60</f>
        <v>2400000</v>
      </c>
      <c r="AA18" s="141">
        <f>세출명세서!S60</f>
        <v>2400000</v>
      </c>
      <c r="AB18" s="141">
        <f>세출명세서!T60</f>
        <v>2400000</v>
      </c>
      <c r="AC18" s="91">
        <f t="shared" si="7"/>
        <v>0</v>
      </c>
      <c r="AD18" s="92">
        <f t="shared" si="8"/>
        <v>0</v>
      </c>
      <c r="AF18" s="8"/>
      <c r="AG18" s="8"/>
    </row>
    <row r="19" spans="1:34" s="7" customFormat="1" ht="24" customHeight="1" x14ac:dyDescent="0.3">
      <c r="A19" s="214"/>
      <c r="B19" s="86"/>
      <c r="C19" s="216" t="s">
        <v>464</v>
      </c>
      <c r="D19" s="74"/>
      <c r="E19" s="75"/>
      <c r="F19" s="74"/>
      <c r="G19" s="76"/>
      <c r="H19" s="77"/>
      <c r="I19" s="77"/>
      <c r="J19" s="77"/>
      <c r="K19" s="77"/>
      <c r="L19" s="77"/>
      <c r="M19" s="77"/>
      <c r="N19" s="77">
        <f>세입명세서!S24</f>
        <v>22625000</v>
      </c>
      <c r="O19" s="77">
        <f>세입명세서!T24</f>
        <v>500000</v>
      </c>
      <c r="P19" s="78">
        <f t="shared" si="9"/>
        <v>-22125000</v>
      </c>
      <c r="Q19" s="79">
        <f t="shared" si="10"/>
        <v>-0.97790055248618779</v>
      </c>
      <c r="R19" s="88"/>
      <c r="S19" s="101"/>
      <c r="T19" s="116" t="s">
        <v>34</v>
      </c>
      <c r="U19" s="141">
        <f>세출명세서!M61</f>
        <v>25746000</v>
      </c>
      <c r="V19" s="141">
        <f>세출명세서!N61</f>
        <v>28478000</v>
      </c>
      <c r="W19" s="141">
        <f>세출명세서!O61</f>
        <v>28478000</v>
      </c>
      <c r="X19" s="141">
        <f>세출명세서!P61</f>
        <v>29178000</v>
      </c>
      <c r="Y19" s="141">
        <f>세출명세서!Q61</f>
        <v>33482000</v>
      </c>
      <c r="Z19" s="141">
        <f>세출명세서!R61</f>
        <v>33482000</v>
      </c>
      <c r="AA19" s="141">
        <f>세출명세서!S61</f>
        <v>33482000</v>
      </c>
      <c r="AB19" s="141">
        <f>세출명세서!T61</f>
        <v>36270000</v>
      </c>
      <c r="AC19" s="91">
        <f t="shared" si="7"/>
        <v>2788000</v>
      </c>
      <c r="AD19" s="92">
        <f t="shared" si="8"/>
        <v>8.3268621946120308E-2</v>
      </c>
      <c r="AF19" s="8"/>
      <c r="AG19" s="8"/>
    </row>
    <row r="20" spans="1:34" s="7" customFormat="1" ht="24" customHeight="1" x14ac:dyDescent="0.3">
      <c r="A20" s="214"/>
      <c r="B20" s="86"/>
      <c r="C20" s="216" t="s">
        <v>465</v>
      </c>
      <c r="D20" s="74"/>
      <c r="E20" s="75"/>
      <c r="F20" s="74"/>
      <c r="G20" s="76"/>
      <c r="H20" s="77"/>
      <c r="I20" s="77"/>
      <c r="J20" s="77"/>
      <c r="K20" s="77"/>
      <c r="L20" s="77"/>
      <c r="M20" s="77"/>
      <c r="N20" s="77">
        <f>세입명세서!S25</f>
        <v>500000</v>
      </c>
      <c r="O20" s="77">
        <f>세입명세서!T25</f>
        <v>500000</v>
      </c>
      <c r="P20" s="78">
        <f t="shared" si="9"/>
        <v>0</v>
      </c>
      <c r="Q20" s="79">
        <f t="shared" si="10"/>
        <v>0</v>
      </c>
      <c r="R20" s="88"/>
      <c r="S20" s="101"/>
      <c r="T20" s="90" t="s">
        <v>35</v>
      </c>
      <c r="U20" s="151">
        <f>세출명세서!M79</f>
        <v>49585000</v>
      </c>
      <c r="V20" s="151">
        <f>세출명세서!N79</f>
        <v>49585000</v>
      </c>
      <c r="W20" s="151">
        <f>세출명세서!O79</f>
        <v>47135000</v>
      </c>
      <c r="X20" s="151">
        <f>세출명세서!P79</f>
        <v>38735000</v>
      </c>
      <c r="Y20" s="151">
        <f>세출명세서!Q79</f>
        <v>52785000</v>
      </c>
      <c r="Z20" s="151">
        <f>세출명세서!R79</f>
        <v>50285000</v>
      </c>
      <c r="AA20" s="151">
        <f>세출명세서!S79</f>
        <v>50285000</v>
      </c>
      <c r="AB20" s="151">
        <f>세출명세서!T79</f>
        <v>52985000</v>
      </c>
      <c r="AC20" s="91">
        <f t="shared" si="7"/>
        <v>2700000</v>
      </c>
      <c r="AD20" s="92">
        <f t="shared" si="8"/>
        <v>5.3693944516257336E-2</v>
      </c>
      <c r="AG20" s="8"/>
      <c r="AH20" s="8"/>
    </row>
    <row r="21" spans="1:34" s="7" customFormat="1" ht="24" customHeight="1" x14ac:dyDescent="0.3">
      <c r="A21" s="214"/>
      <c r="B21" s="86"/>
      <c r="C21" s="216" t="s">
        <v>466</v>
      </c>
      <c r="D21" s="74"/>
      <c r="E21" s="75"/>
      <c r="F21" s="74"/>
      <c r="G21" s="76"/>
      <c r="H21" s="77"/>
      <c r="I21" s="77"/>
      <c r="J21" s="77"/>
      <c r="K21" s="77"/>
      <c r="L21" s="77"/>
      <c r="M21" s="77"/>
      <c r="N21" s="77">
        <f>세입명세서!S26</f>
        <v>1600000</v>
      </c>
      <c r="O21" s="77">
        <f>세입명세서!T26</f>
        <v>0</v>
      </c>
      <c r="P21" s="78">
        <f t="shared" si="9"/>
        <v>-1600000</v>
      </c>
      <c r="Q21" s="79">
        <f t="shared" si="10"/>
        <v>-1</v>
      </c>
      <c r="R21" s="88"/>
      <c r="S21" s="101"/>
      <c r="T21" s="90" t="s">
        <v>36</v>
      </c>
      <c r="U21" s="151">
        <f>세출명세서!M86</f>
        <v>14893000</v>
      </c>
      <c r="V21" s="151">
        <f>세출명세서!N86</f>
        <v>14903000</v>
      </c>
      <c r="W21" s="151">
        <f>세출명세서!O86</f>
        <v>14903000</v>
      </c>
      <c r="X21" s="151">
        <f>세출명세서!P86</f>
        <v>15633000</v>
      </c>
      <c r="Y21" s="151">
        <f>세출명세서!Q86</f>
        <v>15593000</v>
      </c>
      <c r="Z21" s="151">
        <f>세출명세서!R86</f>
        <v>15593000</v>
      </c>
      <c r="AA21" s="151">
        <f>세출명세서!S86</f>
        <v>15593000</v>
      </c>
      <c r="AB21" s="151">
        <f>세출명세서!T86</f>
        <v>14033000</v>
      </c>
      <c r="AC21" s="91">
        <f t="shared" si="7"/>
        <v>-1560000</v>
      </c>
      <c r="AD21" s="92">
        <f t="shared" si="8"/>
        <v>-0.10004489193869044</v>
      </c>
      <c r="AG21" s="8"/>
    </row>
    <row r="22" spans="1:34" s="7" customFormat="1" ht="24" customHeight="1" x14ac:dyDescent="0.3">
      <c r="A22" s="214"/>
      <c r="B22" s="86"/>
      <c r="C22" s="216" t="s">
        <v>467</v>
      </c>
      <c r="D22" s="74"/>
      <c r="E22" s="75"/>
      <c r="F22" s="74"/>
      <c r="G22" s="76"/>
      <c r="H22" s="77"/>
      <c r="I22" s="77"/>
      <c r="J22" s="77"/>
      <c r="K22" s="77"/>
      <c r="L22" s="77"/>
      <c r="M22" s="77"/>
      <c r="N22" s="77">
        <f>세입명세서!S27</f>
        <v>6400000</v>
      </c>
      <c r="O22" s="77">
        <f>세입명세서!T27</f>
        <v>0</v>
      </c>
      <c r="P22" s="78">
        <f t="shared" si="9"/>
        <v>-6400000</v>
      </c>
      <c r="Q22" s="79">
        <f t="shared" si="10"/>
        <v>-1</v>
      </c>
      <c r="R22" s="88"/>
      <c r="S22" s="101"/>
      <c r="T22" s="90" t="s">
        <v>37</v>
      </c>
      <c r="U22" s="151">
        <f>세출명세서!M107</f>
        <v>24920000</v>
      </c>
      <c r="V22" s="151">
        <f>세출명세서!N107</f>
        <v>24920000</v>
      </c>
      <c r="W22" s="151">
        <f>세출명세서!O107</f>
        <v>15300000</v>
      </c>
      <c r="X22" s="151">
        <f>세출명세서!P107</f>
        <v>15300000</v>
      </c>
      <c r="Y22" s="151">
        <f>세출명세서!Q107</f>
        <v>25600000</v>
      </c>
      <c r="Z22" s="151">
        <f>세출명세서!R107</f>
        <v>24000000</v>
      </c>
      <c r="AA22" s="151">
        <f>세출명세서!S107</f>
        <v>25507000</v>
      </c>
      <c r="AB22" s="151">
        <f>세출명세서!T107</f>
        <v>24400000</v>
      </c>
      <c r="AC22" s="91">
        <f t="shared" si="7"/>
        <v>-1107000</v>
      </c>
      <c r="AD22" s="92">
        <f t="shared" si="8"/>
        <v>-4.3399851021288273E-2</v>
      </c>
      <c r="AG22" s="8"/>
    </row>
    <row r="23" spans="1:34" s="7" customFormat="1" ht="24" customHeight="1" x14ac:dyDescent="0.3">
      <c r="A23" s="214"/>
      <c r="B23" s="86"/>
      <c r="C23" s="216" t="s">
        <v>468</v>
      </c>
      <c r="D23" s="74"/>
      <c r="E23" s="75"/>
      <c r="F23" s="74"/>
      <c r="G23" s="76"/>
      <c r="H23" s="77"/>
      <c r="I23" s="77"/>
      <c r="J23" s="77"/>
      <c r="K23" s="77"/>
      <c r="L23" s="77"/>
      <c r="M23" s="77"/>
      <c r="N23" s="77">
        <f>세입명세서!S28</f>
        <v>14125000</v>
      </c>
      <c r="O23" s="77">
        <f>세입명세서!T28</f>
        <v>0</v>
      </c>
      <c r="P23" s="78">
        <f t="shared" si="9"/>
        <v>-14125000</v>
      </c>
      <c r="Q23" s="79">
        <f t="shared" si="10"/>
        <v>-1</v>
      </c>
      <c r="R23" s="88"/>
      <c r="S23" s="101"/>
      <c r="T23" s="90" t="s">
        <v>38</v>
      </c>
      <c r="U23" s="151">
        <f>세출명세서!M114</f>
        <v>1600000</v>
      </c>
      <c r="V23" s="151">
        <f>세출명세서!N114</f>
        <v>1600000</v>
      </c>
      <c r="W23" s="151">
        <f>세출명세서!O114</f>
        <v>1600000</v>
      </c>
      <c r="X23" s="151">
        <f>세출명세서!P114</f>
        <v>1600000</v>
      </c>
      <c r="Y23" s="151">
        <f>세출명세서!Q114</f>
        <v>1600000</v>
      </c>
      <c r="Z23" s="151">
        <f>세출명세서!R114</f>
        <v>1600000</v>
      </c>
      <c r="AA23" s="151">
        <f>세출명세서!S114</f>
        <v>1000000</v>
      </c>
      <c r="AB23" s="151">
        <f>세출명세서!T114</f>
        <v>1600000</v>
      </c>
      <c r="AC23" s="91">
        <f t="shared" si="7"/>
        <v>600000</v>
      </c>
      <c r="AD23" s="92">
        <f t="shared" si="8"/>
        <v>0.6</v>
      </c>
      <c r="AG23" s="8"/>
      <c r="AH23" s="45"/>
    </row>
    <row r="24" spans="1:34" s="7" customFormat="1" ht="24" customHeight="1" x14ac:dyDescent="0.3">
      <c r="A24" s="244" t="s">
        <v>41</v>
      </c>
      <c r="B24" s="93" t="s">
        <v>2</v>
      </c>
      <c r="C24" s="94" t="s">
        <v>16</v>
      </c>
      <c r="D24" s="95" t="e">
        <f t="shared" ref="D24" si="15">SUM(D25:D26)</f>
        <v>#REF!</v>
      </c>
      <c r="E24" s="96">
        <f t="shared" ref="E24:K24" si="16">SUM(E25:E26)</f>
        <v>57600000</v>
      </c>
      <c r="F24" s="95">
        <f t="shared" si="16"/>
        <v>57600000</v>
      </c>
      <c r="G24" s="97">
        <f t="shared" si="16"/>
        <v>59980000</v>
      </c>
      <c r="H24" s="98">
        <f>SUM(H25:H26)</f>
        <v>71700000</v>
      </c>
      <c r="I24" s="98">
        <f>SUM(I25:I26)</f>
        <v>71700000</v>
      </c>
      <c r="J24" s="98">
        <f t="shared" ref="J24" si="17">SUM(J25:J26)</f>
        <v>46000000</v>
      </c>
      <c r="K24" s="98">
        <f t="shared" si="16"/>
        <v>38400000</v>
      </c>
      <c r="L24" s="98">
        <f t="shared" ref="L24:N24" si="18">SUM(L25:L26)</f>
        <v>72000000</v>
      </c>
      <c r="M24" s="98">
        <f t="shared" ref="M24" si="19">SUM(M25:M26)</f>
        <v>72000000</v>
      </c>
      <c r="N24" s="98">
        <f t="shared" si="18"/>
        <v>86075000</v>
      </c>
      <c r="O24" s="98">
        <f t="shared" ref="O24" si="20">SUM(O25:O26)</f>
        <v>79200000</v>
      </c>
      <c r="P24" s="99">
        <f t="shared" si="6"/>
        <v>-6875000</v>
      </c>
      <c r="Q24" s="100">
        <f t="shared" si="4"/>
        <v>-7.9872204472843447E-2</v>
      </c>
      <c r="R24" s="263" t="s">
        <v>39</v>
      </c>
      <c r="S24" s="167"/>
      <c r="T24" s="168" t="s">
        <v>19</v>
      </c>
      <c r="U24" s="169">
        <f>U25</f>
        <v>18850000</v>
      </c>
      <c r="V24" s="169">
        <f>V25</f>
        <v>33513000</v>
      </c>
      <c r="W24" s="169">
        <f>W25</f>
        <v>38213000</v>
      </c>
      <c r="X24" s="169">
        <f>X25</f>
        <v>41083000</v>
      </c>
      <c r="Y24" s="169">
        <f t="shared" ref="Y24:AB24" si="21">Y25</f>
        <v>6490000</v>
      </c>
      <c r="Z24" s="169">
        <f t="shared" si="21"/>
        <v>8148000</v>
      </c>
      <c r="AA24" s="169">
        <f t="shared" si="21"/>
        <v>13048000</v>
      </c>
      <c r="AB24" s="169">
        <f t="shared" si="21"/>
        <v>7890000</v>
      </c>
      <c r="AC24" s="121">
        <f t="shared" si="7"/>
        <v>-5158000</v>
      </c>
      <c r="AD24" s="122">
        <f t="shared" si="8"/>
        <v>-0.3953096259963213</v>
      </c>
      <c r="AG24" s="8"/>
    </row>
    <row r="25" spans="1:34" s="7" customFormat="1" ht="24" customHeight="1" x14ac:dyDescent="0.3">
      <c r="A25" s="230"/>
      <c r="B25" s="102">
        <f>N24/N5*100</f>
        <v>2.6350221148995159</v>
      </c>
      <c r="C25" s="103" t="s">
        <v>42</v>
      </c>
      <c r="D25" s="104" t="e">
        <f>#REF!</f>
        <v>#REF!</v>
      </c>
      <c r="E25" s="105">
        <f>'[1]세입명세서(운영비)'!E13</f>
        <v>57600000</v>
      </c>
      <c r="F25" s="104">
        <f>'[1]세입명세서(운영비)'!F13</f>
        <v>57600000</v>
      </c>
      <c r="G25" s="106">
        <v>59980000</v>
      </c>
      <c r="H25" s="107">
        <f>세입명세서!M31</f>
        <v>71700000</v>
      </c>
      <c r="I25" s="107">
        <f>세입명세서!N31</f>
        <v>71700000</v>
      </c>
      <c r="J25" s="107">
        <f>세입명세서!O31</f>
        <v>46000000</v>
      </c>
      <c r="K25" s="107">
        <f>세입명세서!P31</f>
        <v>38400000</v>
      </c>
      <c r="L25" s="107">
        <f>세입명세서!Q31</f>
        <v>72000000</v>
      </c>
      <c r="M25" s="107">
        <f>세입명세서!R31</f>
        <v>72000000</v>
      </c>
      <c r="N25" s="107">
        <f>세입명세서!S31</f>
        <v>75800000</v>
      </c>
      <c r="O25" s="107">
        <f>세입명세서!T31</f>
        <v>79200000</v>
      </c>
      <c r="P25" s="78">
        <f t="shared" si="6"/>
        <v>3400000</v>
      </c>
      <c r="Q25" s="79">
        <f t="shared" si="4"/>
        <v>4.4854881266490766E-2</v>
      </c>
      <c r="R25" s="264"/>
      <c r="S25" s="81" t="s">
        <v>40</v>
      </c>
      <c r="T25" s="82" t="s">
        <v>16</v>
      </c>
      <c r="U25" s="83">
        <f>SUM(U26:U28)</f>
        <v>18850000</v>
      </c>
      <c r="V25" s="83">
        <f>SUM(V26:V28)</f>
        <v>33513000</v>
      </c>
      <c r="W25" s="83">
        <f>SUM(W26:W28)</f>
        <v>38213000</v>
      </c>
      <c r="X25" s="83">
        <f>SUM(X26:X28)</f>
        <v>41083000</v>
      </c>
      <c r="Y25" s="83">
        <f t="shared" ref="Y25:AA25" si="22">SUM(Y26:Y28)</f>
        <v>6490000</v>
      </c>
      <c r="Z25" s="83">
        <f t="shared" ref="Z25" si="23">SUM(Z26:Z28)</f>
        <v>8148000</v>
      </c>
      <c r="AA25" s="83">
        <f t="shared" si="22"/>
        <v>13048000</v>
      </c>
      <c r="AB25" s="83">
        <f t="shared" ref="AB25" si="24">SUM(AB26:AB28)</f>
        <v>7890000</v>
      </c>
      <c r="AC25" s="121">
        <f t="shared" si="7"/>
        <v>-5158000</v>
      </c>
      <c r="AD25" s="122">
        <f t="shared" si="8"/>
        <v>-0.3953096259963213</v>
      </c>
      <c r="AG25" s="8"/>
    </row>
    <row r="26" spans="1:34" s="7" customFormat="1" ht="24" customHeight="1" x14ac:dyDescent="0.3">
      <c r="A26" s="85"/>
      <c r="B26" s="102"/>
      <c r="C26" s="103" t="s">
        <v>44</v>
      </c>
      <c r="D26" s="104"/>
      <c r="E26" s="105"/>
      <c r="F26" s="104"/>
      <c r="G26" s="106"/>
      <c r="H26" s="107">
        <v>0</v>
      </c>
      <c r="I26" s="107">
        <v>0</v>
      </c>
      <c r="J26" s="107">
        <v>0</v>
      </c>
      <c r="K26" s="107">
        <v>0</v>
      </c>
      <c r="L26" s="107">
        <v>0</v>
      </c>
      <c r="M26" s="107">
        <v>0</v>
      </c>
      <c r="N26" s="107">
        <f>세입명세서!S35</f>
        <v>10275000</v>
      </c>
      <c r="O26" s="107">
        <f>세입명세서!T35</f>
        <v>0</v>
      </c>
      <c r="P26" s="78">
        <f t="shared" si="6"/>
        <v>-10275000</v>
      </c>
      <c r="Q26" s="79">
        <v>0</v>
      </c>
      <c r="R26" s="170">
        <f>AA24/AA5*100</f>
        <v>0.39943965791703606</v>
      </c>
      <c r="S26" s="89">
        <f>AA25/AA5*100</f>
        <v>0.39943965791703606</v>
      </c>
      <c r="T26" s="90" t="s">
        <v>40</v>
      </c>
      <c r="U26" s="91">
        <f>세출명세서!M117</f>
        <v>6300000</v>
      </c>
      <c r="V26" s="91">
        <f>세출명세서!N117</f>
        <v>5400000</v>
      </c>
      <c r="W26" s="91">
        <f>세출명세서!O117</f>
        <v>8400000</v>
      </c>
      <c r="X26" s="91">
        <f>세출명세서!P117</f>
        <v>10270000</v>
      </c>
      <c r="Y26" s="91">
        <f>세출명세서!Q117</f>
        <v>0</v>
      </c>
      <c r="Z26" s="91">
        <f>세출명세서!R117</f>
        <v>518000</v>
      </c>
      <c r="AA26" s="91">
        <f>세출명세서!S117</f>
        <v>518000</v>
      </c>
      <c r="AB26" s="91">
        <f>세출명세서!T117</f>
        <v>0</v>
      </c>
      <c r="AC26" s="91">
        <f t="shared" si="7"/>
        <v>-518000</v>
      </c>
      <c r="AD26" s="92">
        <f t="shared" si="8"/>
        <v>-1</v>
      </c>
    </row>
    <row r="27" spans="1:34" s="7" customFormat="1" ht="24" customHeight="1" x14ac:dyDescent="0.3">
      <c r="A27" s="109" t="s">
        <v>46</v>
      </c>
      <c r="B27" s="110" t="s">
        <v>46</v>
      </c>
      <c r="C27" s="111" t="s">
        <v>16</v>
      </c>
      <c r="D27" s="112" t="e">
        <f t="shared" ref="D27:O27" si="25">SUM(D28)</f>
        <v>#REF!</v>
      </c>
      <c r="E27" s="113">
        <f t="shared" si="25"/>
        <v>51000000</v>
      </c>
      <c r="F27" s="112">
        <f t="shared" si="25"/>
        <v>51000000</v>
      </c>
      <c r="G27" s="114">
        <f t="shared" si="25"/>
        <v>49613000</v>
      </c>
      <c r="H27" s="115">
        <f>SUM(H28)</f>
        <v>25000000</v>
      </c>
      <c r="I27" s="115">
        <f>SUM(I28)</f>
        <v>25000000</v>
      </c>
      <c r="J27" s="115">
        <f t="shared" si="25"/>
        <v>25000000</v>
      </c>
      <c r="K27" s="115">
        <f t="shared" si="25"/>
        <v>25000000</v>
      </c>
      <c r="L27" s="115">
        <f t="shared" si="25"/>
        <v>25000000</v>
      </c>
      <c r="M27" s="115">
        <f t="shared" si="25"/>
        <v>25000000</v>
      </c>
      <c r="N27" s="115">
        <f t="shared" si="25"/>
        <v>25007000</v>
      </c>
      <c r="O27" s="115">
        <f t="shared" si="25"/>
        <v>25000000</v>
      </c>
      <c r="P27" s="99">
        <f t="shared" si="6"/>
        <v>-7000</v>
      </c>
      <c r="Q27" s="100">
        <f t="shared" si="4"/>
        <v>-2.7992162194585515E-4</v>
      </c>
      <c r="R27" s="88"/>
      <c r="S27" s="101"/>
      <c r="T27" s="90" t="s">
        <v>43</v>
      </c>
      <c r="U27" s="91">
        <f>세출명세서!M118</f>
        <v>4700000</v>
      </c>
      <c r="V27" s="91">
        <f>세출명세서!N118</f>
        <v>11263000</v>
      </c>
      <c r="W27" s="91">
        <f>세출명세서!O118</f>
        <v>15463000</v>
      </c>
      <c r="X27" s="91">
        <f>세출명세서!P118</f>
        <v>19463000</v>
      </c>
      <c r="Y27" s="91">
        <f>세출명세서!Q118</f>
        <v>700000</v>
      </c>
      <c r="Z27" s="91">
        <f>세출명세서!R118</f>
        <v>1140000</v>
      </c>
      <c r="AA27" s="91">
        <f>세출명세서!S118</f>
        <v>4740000</v>
      </c>
      <c r="AB27" s="91">
        <f>세출명세서!T118</f>
        <v>2400000</v>
      </c>
      <c r="AC27" s="91">
        <f t="shared" si="7"/>
        <v>-2340000</v>
      </c>
      <c r="AD27" s="92">
        <f t="shared" si="8"/>
        <v>-0.49367088607594939</v>
      </c>
    </row>
    <row r="28" spans="1:34" s="7" customFormat="1" ht="24" customHeight="1" x14ac:dyDescent="0.3">
      <c r="A28" s="117"/>
      <c r="B28" s="118">
        <f>N27/N5*100</f>
        <v>0.76554165585003997</v>
      </c>
      <c r="C28" s="73" t="s">
        <v>1</v>
      </c>
      <c r="D28" s="74" t="e">
        <f>#REF!</f>
        <v>#REF!</v>
      </c>
      <c r="E28" s="75">
        <f>'[1]세입명세서(운영비)'!E17</f>
        <v>51000000</v>
      </c>
      <c r="F28" s="74">
        <f>'[1]세입명세서(운영비)'!F17</f>
        <v>51000000</v>
      </c>
      <c r="G28" s="76">
        <v>49613000</v>
      </c>
      <c r="H28" s="77">
        <f>세입명세서!M38</f>
        <v>25000000</v>
      </c>
      <c r="I28" s="77">
        <f>세입명세서!N38</f>
        <v>25000000</v>
      </c>
      <c r="J28" s="77">
        <f>세입명세서!O38</f>
        <v>25000000</v>
      </c>
      <c r="K28" s="77">
        <f>세입명세서!P38</f>
        <v>25000000</v>
      </c>
      <c r="L28" s="77">
        <f>세입명세서!Q38</f>
        <v>25000000</v>
      </c>
      <c r="M28" s="77">
        <f>세입명세서!R38</f>
        <v>25000000</v>
      </c>
      <c r="N28" s="77">
        <f>세입명세서!S38</f>
        <v>25007000</v>
      </c>
      <c r="O28" s="77">
        <f>세입명세서!T38</f>
        <v>25000000</v>
      </c>
      <c r="P28" s="78">
        <f t="shared" si="6"/>
        <v>-7000</v>
      </c>
      <c r="Q28" s="79">
        <f t="shared" si="4"/>
        <v>-2.7992162194585515E-4</v>
      </c>
      <c r="R28" s="171"/>
      <c r="S28" s="172"/>
      <c r="T28" s="90" t="s">
        <v>45</v>
      </c>
      <c r="U28" s="91">
        <f>세출명세서!M121</f>
        <v>7850000</v>
      </c>
      <c r="V28" s="91">
        <f>세출명세서!N121</f>
        <v>16850000</v>
      </c>
      <c r="W28" s="91">
        <f>세출명세서!O121</f>
        <v>14350000</v>
      </c>
      <c r="X28" s="91">
        <f>세출명세서!P121</f>
        <v>11350000</v>
      </c>
      <c r="Y28" s="91">
        <f>세출명세서!Q121</f>
        <v>5790000</v>
      </c>
      <c r="Z28" s="91">
        <f>세출명세서!R121</f>
        <v>6490000</v>
      </c>
      <c r="AA28" s="91">
        <f>세출명세서!S121</f>
        <v>7790000</v>
      </c>
      <c r="AB28" s="91">
        <f>세출명세서!T121</f>
        <v>5490000</v>
      </c>
      <c r="AC28" s="91">
        <f t="shared" si="7"/>
        <v>-2300000</v>
      </c>
      <c r="AD28" s="92">
        <f t="shared" si="8"/>
        <v>-0.2952503209242619</v>
      </c>
      <c r="AH28" s="9"/>
    </row>
    <row r="29" spans="1:34" s="7" customFormat="1" ht="24" customHeight="1" x14ac:dyDescent="0.3">
      <c r="A29" s="123" t="s">
        <v>0</v>
      </c>
      <c r="B29" s="58" t="s">
        <v>0</v>
      </c>
      <c r="C29" s="59" t="s">
        <v>16</v>
      </c>
      <c r="D29" s="60" t="e">
        <f t="shared" ref="D29:G29" si="26">SUM(D30:D31)</f>
        <v>#REF!</v>
      </c>
      <c r="E29" s="61">
        <f t="shared" si="26"/>
        <v>80776000</v>
      </c>
      <c r="F29" s="60">
        <f t="shared" si="26"/>
        <v>47080000</v>
      </c>
      <c r="G29" s="62">
        <f t="shared" si="26"/>
        <v>83255000</v>
      </c>
      <c r="H29" s="63">
        <f t="shared" ref="H29:L29" si="27">SUM(H30:H31)</f>
        <v>53050000</v>
      </c>
      <c r="I29" s="63">
        <f t="shared" si="27"/>
        <v>46262000</v>
      </c>
      <c r="J29" s="63">
        <f t="shared" si="27"/>
        <v>34509000</v>
      </c>
      <c r="K29" s="63">
        <f t="shared" si="27"/>
        <v>24071000</v>
      </c>
      <c r="L29" s="63">
        <f t="shared" si="27"/>
        <v>59757000</v>
      </c>
      <c r="M29" s="63">
        <f t="shared" ref="M29" si="28">SUM(M30:M31)</f>
        <v>46188000</v>
      </c>
      <c r="N29" s="63">
        <f>SUM(N30:N33)</f>
        <v>61188000</v>
      </c>
      <c r="O29" s="63">
        <f>SUM(O30:O33)</f>
        <v>87000000</v>
      </c>
      <c r="P29" s="99">
        <f t="shared" si="6"/>
        <v>25812000</v>
      </c>
      <c r="Q29" s="100">
        <f t="shared" si="4"/>
        <v>0.42184742106295353</v>
      </c>
      <c r="R29" s="173" t="s">
        <v>5</v>
      </c>
      <c r="S29" s="167"/>
      <c r="T29" s="168" t="s">
        <v>19</v>
      </c>
      <c r="U29" s="169" t="e">
        <f>U30</f>
        <v>#REF!</v>
      </c>
      <c r="V29" s="169" t="e">
        <f>V30</f>
        <v>#REF!</v>
      </c>
      <c r="W29" s="169" t="e">
        <f>W30</f>
        <v>#REF!</v>
      </c>
      <c r="X29" s="169" t="e">
        <f>X30</f>
        <v>#REF!</v>
      </c>
      <c r="Y29" s="169" t="e">
        <f t="shared" ref="Y29:AB29" si="29">Y30</f>
        <v>#REF!</v>
      </c>
      <c r="Z29" s="169" t="e">
        <f t="shared" si="29"/>
        <v>#REF!</v>
      </c>
      <c r="AA29" s="169">
        <f t="shared" si="29"/>
        <v>2631207000</v>
      </c>
      <c r="AB29" s="169">
        <f t="shared" si="29"/>
        <v>2617699000</v>
      </c>
      <c r="AC29" s="121">
        <f t="shared" si="7"/>
        <v>-13508000</v>
      </c>
      <c r="AD29" s="122">
        <f t="shared" si="8"/>
        <v>-5.1337656064308129E-3</v>
      </c>
      <c r="AH29" s="9"/>
    </row>
    <row r="30" spans="1:34" s="7" customFormat="1" ht="24" customHeight="1" x14ac:dyDescent="0.3">
      <c r="A30" s="123"/>
      <c r="B30" s="72">
        <f>N29/N5*100</f>
        <v>1.8731540303975784</v>
      </c>
      <c r="C30" s="127" t="s">
        <v>48</v>
      </c>
      <c r="D30" s="128" t="e">
        <f>#REF!</f>
        <v>#REF!</v>
      </c>
      <c r="E30" s="129">
        <f>'[1]세입명세서(운영비)'!E22</f>
        <v>70112000</v>
      </c>
      <c r="F30" s="128">
        <f>'[1]세입명세서(운영비)'!F22</f>
        <v>36416000</v>
      </c>
      <c r="G30" s="130">
        <v>72591000</v>
      </c>
      <c r="H30" s="131">
        <f>세입명세서!M41</f>
        <v>42042000</v>
      </c>
      <c r="I30" s="131">
        <f>세입명세서!N41</f>
        <v>38350000</v>
      </c>
      <c r="J30" s="131">
        <f>세입명세서!O41</f>
        <v>27684000</v>
      </c>
      <c r="K30" s="131">
        <f>세입명세서!P41</f>
        <v>22288000</v>
      </c>
      <c r="L30" s="131">
        <f>세입명세서!Q41</f>
        <v>51325000</v>
      </c>
      <c r="M30" s="131">
        <f>세입명세서!R41</f>
        <v>43688000</v>
      </c>
      <c r="N30" s="131">
        <f>세입명세서!S41</f>
        <v>43688000</v>
      </c>
      <c r="O30" s="131">
        <f>세입명세서!T41</f>
        <v>50400000</v>
      </c>
      <c r="P30" s="78">
        <f t="shared" si="6"/>
        <v>6712000</v>
      </c>
      <c r="Q30" s="79">
        <f t="shared" si="4"/>
        <v>0.15363486540926571</v>
      </c>
      <c r="R30" s="174">
        <f>AA29/AA5*100</f>
        <v>80.54938871772768</v>
      </c>
      <c r="S30" s="175" t="s">
        <v>5</v>
      </c>
      <c r="T30" s="82" t="s">
        <v>16</v>
      </c>
      <c r="U30" s="83" t="e">
        <f t="shared" ref="U30:Z30" si="30">SUM(U31:U46)</f>
        <v>#REF!</v>
      </c>
      <c r="V30" s="83" t="e">
        <f t="shared" si="30"/>
        <v>#REF!</v>
      </c>
      <c r="W30" s="83" t="e">
        <f t="shared" si="30"/>
        <v>#REF!</v>
      </c>
      <c r="X30" s="83" t="e">
        <f t="shared" si="30"/>
        <v>#REF!</v>
      </c>
      <c r="Y30" s="83" t="e">
        <f t="shared" si="30"/>
        <v>#REF!</v>
      </c>
      <c r="Z30" s="83" t="e">
        <f t="shared" si="30"/>
        <v>#REF!</v>
      </c>
      <c r="AA30" s="83">
        <f>SUM(AA31:AA56)</f>
        <v>2631207000</v>
      </c>
      <c r="AB30" s="83">
        <f>SUM(AB31:AB56)</f>
        <v>2617699000</v>
      </c>
      <c r="AC30" s="121">
        <f t="shared" si="7"/>
        <v>-13508000</v>
      </c>
      <c r="AD30" s="122">
        <f t="shared" si="8"/>
        <v>-5.1337656064308129E-3</v>
      </c>
    </row>
    <row r="31" spans="1:34" s="7" customFormat="1" ht="24" customHeight="1" x14ac:dyDescent="0.3">
      <c r="A31" s="123"/>
      <c r="B31" s="86"/>
      <c r="C31" s="127" t="s">
        <v>49</v>
      </c>
      <c r="D31" s="128" t="e">
        <f>#REF!</f>
        <v>#REF!</v>
      </c>
      <c r="E31" s="129">
        <f>'[1]세입명세서(운영비)'!E25</f>
        <v>10664000</v>
      </c>
      <c r="F31" s="128">
        <f>'[1]세입명세서(운영비)'!F25</f>
        <v>10664000</v>
      </c>
      <c r="G31" s="130">
        <f>'[1]세입명세서(운영비)'!F25</f>
        <v>10664000</v>
      </c>
      <c r="H31" s="131">
        <f>세입명세서!M44</f>
        <v>11008000</v>
      </c>
      <c r="I31" s="131">
        <f>세입명세서!N44</f>
        <v>7912000</v>
      </c>
      <c r="J31" s="131">
        <f>세입명세서!O44</f>
        <v>6825000</v>
      </c>
      <c r="K31" s="131">
        <f>세입명세서!P44</f>
        <v>1783000</v>
      </c>
      <c r="L31" s="131">
        <f>세입명세서!Q44</f>
        <v>8432000</v>
      </c>
      <c r="M31" s="131">
        <f>세입명세서!R44</f>
        <v>2500000</v>
      </c>
      <c r="N31" s="131">
        <f>세입명세서!S44</f>
        <v>2500000</v>
      </c>
      <c r="O31" s="131">
        <f>세입명세서!T44</f>
        <v>2400000</v>
      </c>
      <c r="P31" s="78">
        <f t="shared" si="6"/>
        <v>-100000</v>
      </c>
      <c r="Q31" s="79">
        <f t="shared" si="4"/>
        <v>-0.04</v>
      </c>
      <c r="R31" s="80"/>
      <c r="S31" s="89">
        <f>AA30/AA5*100</f>
        <v>80.54938871772768</v>
      </c>
      <c r="T31" s="179" t="s">
        <v>47</v>
      </c>
      <c r="U31" s="91">
        <f>세출명세서!M129</f>
        <v>52148000</v>
      </c>
      <c r="V31" s="91">
        <f>세출명세서!N129</f>
        <v>52148000</v>
      </c>
      <c r="W31" s="91">
        <f>세출명세서!O129</f>
        <v>25248000</v>
      </c>
      <c r="X31" s="91">
        <f>세출명세서!P129</f>
        <v>18690000</v>
      </c>
      <c r="Y31" s="91">
        <f>세출명세서!Q129</f>
        <v>63360000</v>
      </c>
      <c r="Z31" s="91">
        <f>세출명세서!R129</f>
        <v>60038000</v>
      </c>
      <c r="AA31" s="91">
        <f>세출명세서!S129</f>
        <v>60038000</v>
      </c>
      <c r="AB31" s="91">
        <f>세출명세서!T129</f>
        <v>84655000</v>
      </c>
      <c r="AC31" s="91">
        <f t="shared" si="7"/>
        <v>24617000</v>
      </c>
      <c r="AD31" s="92">
        <f t="shared" si="8"/>
        <v>0.41002365168726473</v>
      </c>
    </row>
    <row r="32" spans="1:34" s="7" customFormat="1" ht="24" customHeight="1" x14ac:dyDescent="0.3">
      <c r="A32" s="123"/>
      <c r="B32" s="86"/>
      <c r="C32" s="127" t="s">
        <v>469</v>
      </c>
      <c r="D32" s="128"/>
      <c r="E32" s="129"/>
      <c r="F32" s="128"/>
      <c r="G32" s="130"/>
      <c r="H32" s="131"/>
      <c r="I32" s="131"/>
      <c r="J32" s="131"/>
      <c r="K32" s="131"/>
      <c r="L32" s="131"/>
      <c r="M32" s="131"/>
      <c r="N32" s="131">
        <f>세입명세서!S46</f>
        <v>15000000</v>
      </c>
      <c r="O32" s="131">
        <f>세입명세서!T46</f>
        <v>27000000</v>
      </c>
      <c r="P32" s="78">
        <f t="shared" ref="P32:P33" si="31">O32-N32</f>
        <v>12000000</v>
      </c>
      <c r="Q32" s="79">
        <f t="shared" ref="Q32" si="32">P32/N32</f>
        <v>0.8</v>
      </c>
      <c r="R32" s="80"/>
      <c r="S32" s="185"/>
      <c r="T32" s="179" t="s">
        <v>471</v>
      </c>
      <c r="U32" s="134"/>
      <c r="V32" s="134"/>
      <c r="W32" s="134"/>
      <c r="X32" s="134"/>
      <c r="Y32" s="134"/>
      <c r="Z32" s="134"/>
      <c r="AA32" s="134">
        <f>세출명세서!S167</f>
        <v>2107007000</v>
      </c>
      <c r="AB32" s="134">
        <f>세출명세서!T167</f>
        <v>2097360000</v>
      </c>
      <c r="AC32" s="91"/>
      <c r="AD32" s="92">
        <f t="shared" si="8"/>
        <v>0</v>
      </c>
    </row>
    <row r="33" spans="1:30" s="7" customFormat="1" ht="24" customHeight="1" x14ac:dyDescent="0.3">
      <c r="A33" s="123"/>
      <c r="B33" s="86"/>
      <c r="C33" s="127" t="s">
        <v>470</v>
      </c>
      <c r="D33" s="128"/>
      <c r="E33" s="129"/>
      <c r="F33" s="128"/>
      <c r="G33" s="130"/>
      <c r="H33" s="131"/>
      <c r="I33" s="131"/>
      <c r="J33" s="131"/>
      <c r="K33" s="131"/>
      <c r="L33" s="131"/>
      <c r="M33" s="131"/>
      <c r="N33" s="131">
        <f>세입명세서!S47</f>
        <v>0</v>
      </c>
      <c r="O33" s="131">
        <f>세입명세서!T47</f>
        <v>7200000</v>
      </c>
      <c r="P33" s="78">
        <f t="shared" si="31"/>
        <v>7200000</v>
      </c>
      <c r="Q33" s="79">
        <v>0</v>
      </c>
      <c r="R33" s="88"/>
      <c r="S33" s="101"/>
      <c r="T33" s="180" t="s">
        <v>50</v>
      </c>
      <c r="U33" s="181">
        <f>세출명세서!M172</f>
        <v>8300000</v>
      </c>
      <c r="V33" s="181">
        <f>세출명세서!N172</f>
        <v>9500000</v>
      </c>
      <c r="W33" s="181">
        <f>세출명세서!O172</f>
        <v>4000000</v>
      </c>
      <c r="X33" s="181">
        <f>세출명세서!P172</f>
        <v>13100000</v>
      </c>
      <c r="Y33" s="181">
        <f>세출명세서!Q172</f>
        <v>1000000</v>
      </c>
      <c r="Z33" s="181">
        <f>세출명세서!R172</f>
        <v>1000000</v>
      </c>
      <c r="AA33" s="181">
        <f>세출명세서!S172</f>
        <v>1000000</v>
      </c>
      <c r="AB33" s="181">
        <f>세출명세서!T172</f>
        <v>200000</v>
      </c>
      <c r="AC33" s="91">
        <f t="shared" si="7"/>
        <v>-800000</v>
      </c>
      <c r="AD33" s="92">
        <f t="shared" si="8"/>
        <v>-0.8</v>
      </c>
    </row>
    <row r="34" spans="1:30" s="7" customFormat="1" ht="24" customHeight="1" x14ac:dyDescent="0.3">
      <c r="A34" s="135" t="s">
        <v>53</v>
      </c>
      <c r="B34" s="110" t="s">
        <v>53</v>
      </c>
      <c r="C34" s="111" t="s">
        <v>16</v>
      </c>
      <c r="D34" s="112" t="e">
        <f t="shared" ref="D34:E34" si="33">SUM(D35:D36)</f>
        <v>#REF!</v>
      </c>
      <c r="E34" s="113">
        <f t="shared" si="33"/>
        <v>8000000</v>
      </c>
      <c r="F34" s="112">
        <f t="shared" ref="F34:K34" si="34">SUM(F35:F36)</f>
        <v>28878000</v>
      </c>
      <c r="G34" s="114">
        <f t="shared" si="34"/>
        <v>3960000</v>
      </c>
      <c r="H34" s="115">
        <f>SUM(H35:H36)</f>
        <v>30000000</v>
      </c>
      <c r="I34" s="115">
        <f>SUM(I35:I36)</f>
        <v>54550000</v>
      </c>
      <c r="J34" s="115">
        <f t="shared" ref="J34" si="35">SUM(J35:J36)</f>
        <v>54550000</v>
      </c>
      <c r="K34" s="115">
        <f t="shared" si="34"/>
        <v>54550000</v>
      </c>
      <c r="L34" s="115">
        <f t="shared" ref="L34:N34" si="36">SUM(L35:L36)</f>
        <v>30000000</v>
      </c>
      <c r="M34" s="115">
        <f t="shared" ref="M34" si="37">SUM(M35:M36)</f>
        <v>32371000</v>
      </c>
      <c r="N34" s="115">
        <f t="shared" si="36"/>
        <v>75066000</v>
      </c>
      <c r="O34" s="115">
        <f t="shared" ref="O34" si="38">SUM(O35:O36)</f>
        <v>42000000</v>
      </c>
      <c r="P34" s="99">
        <f t="shared" si="6"/>
        <v>-33066000</v>
      </c>
      <c r="Q34" s="100">
        <f t="shared" si="4"/>
        <v>-0.44049236671728881</v>
      </c>
      <c r="R34" s="80"/>
      <c r="S34" s="101"/>
      <c r="T34" s="182" t="s">
        <v>51</v>
      </c>
      <c r="U34" s="134">
        <f>세출명세서!M174</f>
        <v>42556000</v>
      </c>
      <c r="V34" s="134">
        <f>세출명세서!N174</f>
        <v>43556000</v>
      </c>
      <c r="W34" s="134">
        <f>세출명세서!O174</f>
        <v>34332000</v>
      </c>
      <c r="X34" s="134">
        <f>세출명세서!P174</f>
        <v>34175000</v>
      </c>
      <c r="Y34" s="134">
        <f>세출명세서!Q174</f>
        <v>43268000</v>
      </c>
      <c r="Z34" s="134">
        <f>세출명세서!R174</f>
        <v>40636000</v>
      </c>
      <c r="AA34" s="134">
        <f>세출명세서!S174</f>
        <v>95836000</v>
      </c>
      <c r="AB34" s="134">
        <f>세출명세서!T174</f>
        <v>109100000</v>
      </c>
      <c r="AC34" s="91">
        <f t="shared" si="7"/>
        <v>13264000</v>
      </c>
      <c r="AD34" s="92">
        <f t="shared" si="8"/>
        <v>0.13840310530489586</v>
      </c>
    </row>
    <row r="35" spans="1:30" s="7" customFormat="1" ht="24" customHeight="1" x14ac:dyDescent="0.3">
      <c r="A35" s="139"/>
      <c r="B35" s="72">
        <f>N34/N5*100</f>
        <v>2.2980025568056583</v>
      </c>
      <c r="C35" s="73" t="s">
        <v>55</v>
      </c>
      <c r="D35" s="74" t="e">
        <f>#REF!</f>
        <v>#REF!</v>
      </c>
      <c r="E35" s="75">
        <f>'[1]세입명세서(운영비)'!E29</f>
        <v>8000000</v>
      </c>
      <c r="F35" s="74">
        <f>'[1]세입명세서(운영비)'!F29</f>
        <v>10124000</v>
      </c>
      <c r="G35" s="76">
        <v>2247000</v>
      </c>
      <c r="H35" s="77">
        <f>세입명세서!M50</f>
        <v>10000000</v>
      </c>
      <c r="I35" s="77">
        <f>세입명세서!N50</f>
        <v>28249000</v>
      </c>
      <c r="J35" s="77">
        <f>세입명세서!O50</f>
        <v>28249000</v>
      </c>
      <c r="K35" s="77">
        <f>세입명세서!P50</f>
        <v>28249000</v>
      </c>
      <c r="L35" s="77">
        <f>세입명세서!Q50</f>
        <v>20000000</v>
      </c>
      <c r="M35" s="77">
        <f>세입명세서!R50</f>
        <v>19939000</v>
      </c>
      <c r="N35" s="77">
        <f>세입명세서!S50</f>
        <v>62634000</v>
      </c>
      <c r="O35" s="77">
        <f>세입명세서!T50</f>
        <v>17000000</v>
      </c>
      <c r="P35" s="78">
        <f t="shared" si="6"/>
        <v>-45634000</v>
      </c>
      <c r="Q35" s="79">
        <f t="shared" si="4"/>
        <v>-0.72858192036274227</v>
      </c>
      <c r="R35" s="88"/>
      <c r="S35" s="101"/>
      <c r="T35" s="90" t="s">
        <v>52</v>
      </c>
      <c r="U35" s="91">
        <f>세출명세서!M185</f>
        <v>1200000</v>
      </c>
      <c r="V35" s="91">
        <f>세출명세서!N185</f>
        <v>1200000</v>
      </c>
      <c r="W35" s="91">
        <f>세출명세서!O185</f>
        <v>1200000</v>
      </c>
      <c r="X35" s="91">
        <f>세출명세서!P185</f>
        <v>1200000</v>
      </c>
      <c r="Y35" s="91">
        <f>세출명세서!Q185</f>
        <v>1200000</v>
      </c>
      <c r="Z35" s="91">
        <f>세출명세서!R185</f>
        <v>1200000</v>
      </c>
      <c r="AA35" s="91">
        <f>세출명세서!S185</f>
        <v>450000</v>
      </c>
      <c r="AB35" s="91">
        <f>세출명세서!T185</f>
        <v>1600000</v>
      </c>
      <c r="AC35" s="91">
        <f t="shared" si="7"/>
        <v>1150000</v>
      </c>
      <c r="AD35" s="92">
        <f t="shared" si="8"/>
        <v>2.5555555555555554</v>
      </c>
    </row>
    <row r="36" spans="1:30" s="7" customFormat="1" ht="24" customHeight="1" x14ac:dyDescent="0.3">
      <c r="A36" s="142"/>
      <c r="B36" s="143"/>
      <c r="C36" s="73" t="s">
        <v>57</v>
      </c>
      <c r="D36" s="74" t="e">
        <f>#REF!</f>
        <v>#REF!</v>
      </c>
      <c r="E36" s="75">
        <f>'[1]세입명세서(운영비)'!E30</f>
        <v>0</v>
      </c>
      <c r="F36" s="74">
        <f>'[1]세입명세서(운영비)'!F30</f>
        <v>18754000</v>
      </c>
      <c r="G36" s="76">
        <v>1713000</v>
      </c>
      <c r="H36" s="77">
        <f>세입명세서!M52</f>
        <v>20000000</v>
      </c>
      <c r="I36" s="77">
        <f>세입명세서!N52</f>
        <v>26301000</v>
      </c>
      <c r="J36" s="77">
        <f>세입명세서!O52</f>
        <v>26301000</v>
      </c>
      <c r="K36" s="77">
        <f>세입명세서!P52</f>
        <v>26301000</v>
      </c>
      <c r="L36" s="77">
        <f>세입명세서!Q52</f>
        <v>10000000</v>
      </c>
      <c r="M36" s="77">
        <f>세입명세서!R52</f>
        <v>12432000</v>
      </c>
      <c r="N36" s="77">
        <f>세입명세서!S52</f>
        <v>12432000</v>
      </c>
      <c r="O36" s="77">
        <f>세입명세서!T52</f>
        <v>25000000</v>
      </c>
      <c r="P36" s="78">
        <f t="shared" si="6"/>
        <v>12568000</v>
      </c>
      <c r="Q36" s="79">
        <f t="shared" si="4"/>
        <v>1.010939510939511</v>
      </c>
      <c r="R36" s="88"/>
      <c r="S36" s="101"/>
      <c r="T36" s="179" t="s">
        <v>54</v>
      </c>
      <c r="U36" s="134">
        <f>세출명세서!M187</f>
        <v>500000</v>
      </c>
      <c r="V36" s="134">
        <f>세출명세서!N187</f>
        <v>1200000</v>
      </c>
      <c r="W36" s="134">
        <f>세출명세서!O187</f>
        <v>1200000</v>
      </c>
      <c r="X36" s="134">
        <f>세출명세서!P187</f>
        <v>1200000</v>
      </c>
      <c r="Y36" s="134">
        <f>세출명세서!Q187</f>
        <v>7500000</v>
      </c>
      <c r="Z36" s="134">
        <f>세출명세서!R187</f>
        <v>7500000</v>
      </c>
      <c r="AA36" s="134">
        <f>세출명세서!S187</f>
        <v>3500000</v>
      </c>
      <c r="AB36" s="134">
        <f>세출명세서!T187</f>
        <v>4500000</v>
      </c>
      <c r="AC36" s="91">
        <f t="shared" si="7"/>
        <v>1000000</v>
      </c>
      <c r="AD36" s="92">
        <f t="shared" si="8"/>
        <v>0.2857142857142857</v>
      </c>
    </row>
    <row r="37" spans="1:30" s="7" customFormat="1" ht="24" customHeight="1" x14ac:dyDescent="0.3">
      <c r="A37" s="144" t="s">
        <v>58</v>
      </c>
      <c r="B37" s="145" t="s">
        <v>58</v>
      </c>
      <c r="C37" s="146" t="s">
        <v>16</v>
      </c>
      <c r="D37" s="147" t="e">
        <f t="shared" ref="D37" si="39">SUM(D38:D39)</f>
        <v>#REF!</v>
      </c>
      <c r="E37" s="148">
        <f t="shared" ref="E37:K37" si="40">SUM(E38:E39)</f>
        <v>4220000</v>
      </c>
      <c r="F37" s="147">
        <f t="shared" si="40"/>
        <v>8220000</v>
      </c>
      <c r="G37" s="149">
        <f t="shared" si="40"/>
        <v>7448000</v>
      </c>
      <c r="H37" s="150">
        <f>SUM(H38:H39)</f>
        <v>7000000</v>
      </c>
      <c r="I37" s="150">
        <f>SUM(I38:I39)</f>
        <v>6940000</v>
      </c>
      <c r="J37" s="150">
        <f t="shared" ref="J37" si="41">SUM(J38:J39)</f>
        <v>4064000</v>
      </c>
      <c r="K37" s="150">
        <f t="shared" si="40"/>
        <v>4064000</v>
      </c>
      <c r="L37" s="150">
        <f t="shared" ref="L37:N37" si="42">SUM(L38:L39)</f>
        <v>4800000</v>
      </c>
      <c r="M37" s="150">
        <f t="shared" ref="M37" si="43">SUM(M38:M39)</f>
        <v>4800000</v>
      </c>
      <c r="N37" s="150">
        <f t="shared" si="42"/>
        <v>44970000</v>
      </c>
      <c r="O37" s="150">
        <f t="shared" ref="O37" si="44">SUM(O38:O39)</f>
        <v>6300000</v>
      </c>
      <c r="P37" s="99">
        <f t="shared" si="6"/>
        <v>-38670000</v>
      </c>
      <c r="Q37" s="100">
        <f t="shared" si="4"/>
        <v>-0.85990660440293532</v>
      </c>
      <c r="R37" s="80"/>
      <c r="S37" s="185"/>
      <c r="T37" s="179" t="s">
        <v>56</v>
      </c>
      <c r="U37" s="134">
        <f>세출명세서!M191</f>
        <v>600000</v>
      </c>
      <c r="V37" s="134">
        <f>세출명세서!N191</f>
        <v>600000</v>
      </c>
      <c r="W37" s="134">
        <f>세출명세서!O191</f>
        <v>600000</v>
      </c>
      <c r="X37" s="134">
        <f>세출명세서!P191</f>
        <v>600000</v>
      </c>
      <c r="Y37" s="134">
        <f>세출명세서!Q191</f>
        <v>900000</v>
      </c>
      <c r="Z37" s="134">
        <f>세출명세서!R191</f>
        <v>900000</v>
      </c>
      <c r="AA37" s="134">
        <f>세출명세서!S191</f>
        <v>900000</v>
      </c>
      <c r="AB37" s="134">
        <f>세출명세서!T191</f>
        <v>2600000</v>
      </c>
      <c r="AC37" s="91">
        <f t="shared" si="7"/>
        <v>1700000</v>
      </c>
      <c r="AD37" s="92">
        <f t="shared" si="8"/>
        <v>1.8888888888888888</v>
      </c>
    </row>
    <row r="38" spans="1:30" s="10" customFormat="1" ht="24" customHeight="1" x14ac:dyDescent="0.3">
      <c r="A38" s="144"/>
      <c r="B38" s="102">
        <f>N37/N5*100</f>
        <v>1.3766708627014954</v>
      </c>
      <c r="C38" s="152" t="s">
        <v>60</v>
      </c>
      <c r="D38" s="128" t="e">
        <f>#REF!</f>
        <v>#REF!</v>
      </c>
      <c r="E38" s="129">
        <f>'[1]세입명세서(운영비)'!E33</f>
        <v>40000</v>
      </c>
      <c r="F38" s="128">
        <f>'[1]세입명세서(운영비)'!F33</f>
        <v>40000</v>
      </c>
      <c r="G38" s="130">
        <v>40000</v>
      </c>
      <c r="H38" s="131">
        <f>세입명세서!M55</f>
        <v>40000</v>
      </c>
      <c r="I38" s="131">
        <f>세입명세서!N55</f>
        <v>40000</v>
      </c>
      <c r="J38" s="131">
        <f>세입명세서!O55</f>
        <v>114000</v>
      </c>
      <c r="K38" s="131">
        <f>세입명세서!P55</f>
        <v>114000</v>
      </c>
      <c r="L38" s="131">
        <f>세입명세서!Q55</f>
        <v>0</v>
      </c>
      <c r="M38" s="131">
        <f>세입명세서!R55</f>
        <v>0</v>
      </c>
      <c r="N38" s="131">
        <f>세입명세서!S55</f>
        <v>600000</v>
      </c>
      <c r="O38" s="131">
        <f>세입명세서!T55</f>
        <v>100000</v>
      </c>
      <c r="P38" s="78">
        <f t="shared" si="6"/>
        <v>-500000</v>
      </c>
      <c r="Q38" s="79">
        <f t="shared" si="4"/>
        <v>-0.83333333333333337</v>
      </c>
      <c r="R38" s="217"/>
      <c r="S38" s="185"/>
      <c r="T38" s="179" t="s">
        <v>454</v>
      </c>
      <c r="U38" s="134"/>
      <c r="V38" s="134"/>
      <c r="W38" s="134"/>
      <c r="X38" s="134"/>
      <c r="Y38" s="134"/>
      <c r="Z38" s="134"/>
      <c r="AA38" s="134">
        <f>세출명세서!S196</f>
        <v>25000000</v>
      </c>
      <c r="AB38" s="134">
        <f>세출명세서!T196</f>
        <v>28463000</v>
      </c>
      <c r="AC38" s="91">
        <f t="shared" ref="AC38" si="45">AB38-AA38</f>
        <v>3463000</v>
      </c>
      <c r="AD38" s="92">
        <f t="shared" ref="AD38" si="46">AC38/AA38</f>
        <v>0.13852</v>
      </c>
    </row>
    <row r="39" spans="1:30" s="10" customFormat="1" ht="24" customHeight="1" thickBot="1" x14ac:dyDescent="0.35">
      <c r="A39" s="153"/>
      <c r="B39" s="154"/>
      <c r="C39" s="155" t="s">
        <v>3</v>
      </c>
      <c r="D39" s="156" t="e">
        <f>#REF!</f>
        <v>#REF!</v>
      </c>
      <c r="E39" s="157">
        <f>'[1]세입명세서(운영비)'!E34</f>
        <v>4180000</v>
      </c>
      <c r="F39" s="156">
        <f>'[1]세입명세서(운영비)'!F34</f>
        <v>8180000</v>
      </c>
      <c r="G39" s="158">
        <v>7408000</v>
      </c>
      <c r="H39" s="159">
        <f>세입명세서!M56</f>
        <v>6960000</v>
      </c>
      <c r="I39" s="159">
        <f>세입명세서!N56</f>
        <v>6900000</v>
      </c>
      <c r="J39" s="159">
        <f>세입명세서!O56</f>
        <v>3950000</v>
      </c>
      <c r="K39" s="159">
        <f>세입명세서!P56</f>
        <v>3950000</v>
      </c>
      <c r="L39" s="159">
        <f>세입명세서!Q56</f>
        <v>4800000</v>
      </c>
      <c r="M39" s="159">
        <f>세입명세서!R56</f>
        <v>4800000</v>
      </c>
      <c r="N39" s="159">
        <f>세입명세서!S56</f>
        <v>44370000</v>
      </c>
      <c r="O39" s="159">
        <f>세입명세서!T56</f>
        <v>6200000</v>
      </c>
      <c r="P39" s="160">
        <f>O39-N39</f>
        <v>-38170000</v>
      </c>
      <c r="Q39" s="161">
        <f t="shared" si="4"/>
        <v>-0.86026594545864321</v>
      </c>
      <c r="R39" s="217"/>
      <c r="S39" s="185"/>
      <c r="T39" s="179" t="s">
        <v>474</v>
      </c>
      <c r="U39" s="134"/>
      <c r="V39" s="134"/>
      <c r="W39" s="134"/>
      <c r="X39" s="134"/>
      <c r="Y39" s="134"/>
      <c r="Z39" s="134"/>
      <c r="AA39" s="134">
        <f>세출명세서!S208</f>
        <v>0</v>
      </c>
      <c r="AB39" s="134">
        <f>세출명세서!T208</f>
        <v>22632000</v>
      </c>
      <c r="AC39" s="91">
        <f t="shared" ref="AC39:AC40" si="47">AB39-AA39</f>
        <v>22632000</v>
      </c>
      <c r="AD39" s="92">
        <v>0</v>
      </c>
    </row>
    <row r="40" spans="1:30" s="10" customFormat="1" ht="24" customHeight="1" x14ac:dyDescent="0.3">
      <c r="A40" s="162"/>
      <c r="B40" s="163"/>
      <c r="C40" s="164"/>
      <c r="D40" s="164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217"/>
      <c r="S40" s="185"/>
      <c r="T40" s="179" t="s">
        <v>475</v>
      </c>
      <c r="U40" s="134"/>
      <c r="V40" s="134"/>
      <c r="W40" s="134"/>
      <c r="X40" s="134"/>
      <c r="Y40" s="134"/>
      <c r="Z40" s="134"/>
      <c r="AA40" s="134">
        <f>세출명세서!S226</f>
        <v>37532000</v>
      </c>
      <c r="AB40" s="134">
        <f>세출명세서!T226</f>
        <v>41167000</v>
      </c>
      <c r="AC40" s="91">
        <f t="shared" si="47"/>
        <v>3635000</v>
      </c>
      <c r="AD40" s="92">
        <f t="shared" ref="AD40" si="48">AC40/AA40</f>
        <v>9.685068741340723E-2</v>
      </c>
    </row>
    <row r="41" spans="1:30" s="10" customFormat="1" ht="24" customHeight="1" x14ac:dyDescent="0.3">
      <c r="A41" s="162"/>
      <c r="B41" s="163"/>
      <c r="C41" s="210"/>
      <c r="D41" s="210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86"/>
      <c r="S41" s="101"/>
      <c r="T41" s="179" t="s">
        <v>59</v>
      </c>
      <c r="U41" s="134">
        <f>세출명세서!M237</f>
        <v>2670000</v>
      </c>
      <c r="V41" s="134">
        <f>세출명세서!N237</f>
        <v>3170000</v>
      </c>
      <c r="W41" s="134">
        <f>세출명세서!O237</f>
        <v>3170000</v>
      </c>
      <c r="X41" s="134">
        <f>세출명세서!P237</f>
        <v>3170000</v>
      </c>
      <c r="Y41" s="134">
        <f>세출명세서!Q237</f>
        <v>3170000</v>
      </c>
      <c r="Z41" s="134">
        <f>세출명세서!R237</f>
        <v>3170000</v>
      </c>
      <c r="AA41" s="134">
        <f>세출명세서!S237</f>
        <v>3170000</v>
      </c>
      <c r="AB41" s="134">
        <f>세출명세서!T237</f>
        <v>3170000</v>
      </c>
      <c r="AC41" s="91">
        <f t="shared" si="7"/>
        <v>0</v>
      </c>
      <c r="AD41" s="92">
        <f t="shared" si="8"/>
        <v>0</v>
      </c>
    </row>
    <row r="42" spans="1:30" s="7" customFormat="1" ht="24" customHeight="1" x14ac:dyDescent="0.3">
      <c r="A42" s="162"/>
      <c r="B42" s="163"/>
      <c r="C42" s="166"/>
      <c r="D42" s="164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86"/>
      <c r="S42" s="101"/>
      <c r="T42" s="179" t="s">
        <v>61</v>
      </c>
      <c r="U42" s="134">
        <f>세출명세서!M242</f>
        <v>22700000</v>
      </c>
      <c r="V42" s="134">
        <f>세출명세서!N242</f>
        <v>23000000</v>
      </c>
      <c r="W42" s="134">
        <f>세출명세서!O242</f>
        <v>28600000</v>
      </c>
      <c r="X42" s="134">
        <f>세출명세서!P242</f>
        <v>28950000</v>
      </c>
      <c r="Y42" s="134">
        <f>세출명세서!Q242</f>
        <v>24000000</v>
      </c>
      <c r="Z42" s="134">
        <f>세출명세서!R242</f>
        <v>24000000</v>
      </c>
      <c r="AA42" s="134">
        <f>세출명세서!S242</f>
        <v>22000000</v>
      </c>
      <c r="AB42" s="134">
        <f>세출명세서!T242</f>
        <v>28000000</v>
      </c>
      <c r="AC42" s="91">
        <f t="shared" si="7"/>
        <v>6000000</v>
      </c>
      <c r="AD42" s="92">
        <f t="shared" si="8"/>
        <v>0.27272727272727271</v>
      </c>
    </row>
    <row r="43" spans="1:30" s="7" customFormat="1" ht="24" customHeight="1" x14ac:dyDescent="0.3">
      <c r="A43" s="212"/>
      <c r="B43" s="210"/>
      <c r="C43" s="166"/>
      <c r="D43" s="210"/>
      <c r="E43" s="165"/>
      <c r="F43" s="165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165"/>
      <c r="R43" s="186"/>
      <c r="S43" s="101"/>
      <c r="T43" s="179" t="s">
        <v>63</v>
      </c>
      <c r="U43" s="134"/>
      <c r="V43" s="134"/>
      <c r="W43" s="134"/>
      <c r="X43" s="134"/>
      <c r="Y43" s="134"/>
      <c r="Z43" s="134"/>
      <c r="AA43" s="134">
        <f>세출명세서!S246</f>
        <v>7040000</v>
      </c>
      <c r="AB43" s="134">
        <f>세출명세서!T246</f>
        <v>6540000</v>
      </c>
      <c r="AC43" s="91">
        <f t="shared" ref="AC43" si="49">AB43-AA43</f>
        <v>-500000</v>
      </c>
      <c r="AD43" s="92">
        <f t="shared" ref="AD43" si="50">AC43/AA43</f>
        <v>-7.1022727272727279E-2</v>
      </c>
    </row>
    <row r="44" spans="1:30" s="7" customFormat="1" ht="24" customHeight="1" x14ac:dyDescent="0.3">
      <c r="A44" s="176"/>
      <c r="B44" s="183"/>
      <c r="C44" s="178"/>
      <c r="D44" s="184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86"/>
      <c r="S44" s="101"/>
      <c r="T44" s="179" t="s">
        <v>62</v>
      </c>
      <c r="U44" s="134">
        <f>세출명세서!M251</f>
        <v>9300000</v>
      </c>
      <c r="V44" s="134">
        <f>세출명세서!N251</f>
        <v>9500000</v>
      </c>
      <c r="W44" s="134">
        <f>세출명세서!O251</f>
        <v>6900000</v>
      </c>
      <c r="X44" s="134">
        <f>세출명세서!P251</f>
        <v>6900000</v>
      </c>
      <c r="Y44" s="134">
        <f>세출명세서!Q251</f>
        <v>7900000</v>
      </c>
      <c r="Z44" s="134">
        <f>세출명세서!R251</f>
        <v>5900000</v>
      </c>
      <c r="AA44" s="134">
        <f>세출명세서!S251</f>
        <v>6600000</v>
      </c>
      <c r="AB44" s="134">
        <f>세출명세서!T251</f>
        <v>8400000</v>
      </c>
      <c r="AC44" s="91">
        <f t="shared" si="7"/>
        <v>1800000</v>
      </c>
      <c r="AD44" s="92">
        <f t="shared" si="8"/>
        <v>0.27272727272727271</v>
      </c>
    </row>
    <row r="45" spans="1:30" s="10" customFormat="1" ht="24" customHeight="1" x14ac:dyDescent="0.3">
      <c r="A45" s="176"/>
      <c r="B45" s="183"/>
      <c r="C45" s="215"/>
      <c r="D45" s="184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09"/>
      <c r="S45" s="101"/>
      <c r="T45" s="179" t="s">
        <v>403</v>
      </c>
      <c r="U45" s="134"/>
      <c r="V45" s="134"/>
      <c r="W45" s="134"/>
      <c r="X45" s="134"/>
      <c r="Y45" s="134"/>
      <c r="Z45" s="134"/>
      <c r="AA45" s="134">
        <f>세출명세서!S258</f>
        <v>0</v>
      </c>
      <c r="AB45" s="134">
        <f>세출명세서!T258</f>
        <v>100000</v>
      </c>
      <c r="AC45" s="91">
        <f t="shared" si="7"/>
        <v>100000</v>
      </c>
      <c r="AD45" s="92">
        <v>0</v>
      </c>
    </row>
    <row r="46" spans="1:30" s="10" customFormat="1" ht="24" customHeight="1" x14ac:dyDescent="0.3">
      <c r="A46" s="176"/>
      <c r="B46" s="183"/>
      <c r="C46" s="178"/>
      <c r="D46" s="184"/>
      <c r="E46" s="178"/>
      <c r="F46" s="178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88"/>
      <c r="S46" s="101"/>
      <c r="T46" s="179" t="s">
        <v>64</v>
      </c>
      <c r="U46" s="134" t="e">
        <f>세출명세서!#REF!</f>
        <v>#REF!</v>
      </c>
      <c r="V46" s="134" t="e">
        <f>세출명세서!#REF!</f>
        <v>#REF!</v>
      </c>
      <c r="W46" s="134" t="e">
        <f>세출명세서!#REF!</f>
        <v>#REF!</v>
      </c>
      <c r="X46" s="134" t="e">
        <f>세출명세서!#REF!</f>
        <v>#REF!</v>
      </c>
      <c r="Y46" s="134" t="e">
        <f>세출명세서!#REF!</f>
        <v>#REF!</v>
      </c>
      <c r="Z46" s="134" t="e">
        <f>세출명세서!#REF!</f>
        <v>#REF!</v>
      </c>
      <c r="AA46" s="134">
        <f>세출명세서!S259</f>
        <v>100000</v>
      </c>
      <c r="AB46" s="134">
        <f>세출명세서!T259</f>
        <v>100000</v>
      </c>
      <c r="AC46" s="91">
        <f t="shared" si="7"/>
        <v>0</v>
      </c>
      <c r="AD46" s="92">
        <f t="shared" ref="AD46:AD55" si="51">AC46/AA46</f>
        <v>0</v>
      </c>
    </row>
    <row r="47" spans="1:30" s="10" customFormat="1" ht="24" customHeight="1" x14ac:dyDescent="0.3">
      <c r="A47" s="176"/>
      <c r="B47" s="183"/>
      <c r="C47" s="215"/>
      <c r="D47" s="184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09"/>
      <c r="S47" s="101"/>
      <c r="T47" s="179" t="s">
        <v>431</v>
      </c>
      <c r="U47" s="134"/>
      <c r="V47" s="134"/>
      <c r="W47" s="134"/>
      <c r="X47" s="134"/>
      <c r="Y47" s="134"/>
      <c r="Z47" s="134"/>
      <c r="AA47" s="134">
        <v>0</v>
      </c>
      <c r="AB47" s="134">
        <f>세출명세서!T260</f>
        <v>3000000</v>
      </c>
      <c r="AC47" s="91">
        <f t="shared" ref="AC47:AC55" si="52">AB47-AA47</f>
        <v>3000000</v>
      </c>
      <c r="AD47" s="92">
        <v>0</v>
      </c>
    </row>
    <row r="48" spans="1:30" s="10" customFormat="1" ht="24" customHeight="1" x14ac:dyDescent="0.3">
      <c r="A48" s="176"/>
      <c r="B48" s="183"/>
      <c r="C48" s="215"/>
      <c r="D48" s="184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09"/>
      <c r="S48" s="101"/>
      <c r="T48" s="179" t="s">
        <v>472</v>
      </c>
      <c r="U48" s="134"/>
      <c r="V48" s="134"/>
      <c r="W48" s="134"/>
      <c r="X48" s="134"/>
      <c r="Y48" s="134"/>
      <c r="Z48" s="134"/>
      <c r="AA48" s="134">
        <f>세출명세서!S261</f>
        <v>125158000</v>
      </c>
      <c r="AB48" s="134">
        <f>세출명세서!T261</f>
        <v>134750000</v>
      </c>
      <c r="AC48" s="91">
        <f t="shared" si="52"/>
        <v>9592000</v>
      </c>
      <c r="AD48" s="92">
        <f t="shared" si="51"/>
        <v>7.6639128142028473E-2</v>
      </c>
    </row>
    <row r="49" spans="1:30" s="10" customFormat="1" ht="24" customHeight="1" x14ac:dyDescent="0.3">
      <c r="A49" s="176"/>
      <c r="B49" s="183"/>
      <c r="C49" s="211"/>
      <c r="D49" s="184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09"/>
      <c r="S49" s="101"/>
      <c r="T49" s="179" t="s">
        <v>473</v>
      </c>
      <c r="U49" s="134"/>
      <c r="V49" s="134"/>
      <c r="W49" s="134"/>
      <c r="X49" s="134"/>
      <c r="Y49" s="134"/>
      <c r="Z49" s="134"/>
      <c r="AA49" s="134">
        <f>세출명세서!S264</f>
        <v>28060000</v>
      </c>
      <c r="AB49" s="134">
        <f>세출명세서!T264</f>
        <v>29562000</v>
      </c>
      <c r="AC49" s="91">
        <f t="shared" si="52"/>
        <v>1502000</v>
      </c>
      <c r="AD49" s="92">
        <f t="shared" si="51"/>
        <v>5.3528153955808983E-2</v>
      </c>
    </row>
    <row r="50" spans="1:30" s="10" customFormat="1" ht="22.5" customHeight="1" x14ac:dyDescent="0.3">
      <c r="A50" s="176"/>
      <c r="B50" s="183"/>
      <c r="C50" s="211"/>
      <c r="D50" s="184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09"/>
      <c r="S50" s="101"/>
      <c r="T50" s="179" t="s">
        <v>484</v>
      </c>
      <c r="U50" s="134"/>
      <c r="V50" s="134"/>
      <c r="W50" s="134"/>
      <c r="X50" s="134"/>
      <c r="Y50" s="134"/>
      <c r="Z50" s="134"/>
      <c r="AA50" s="134">
        <f>세출명세서!S269</f>
        <v>8000000</v>
      </c>
      <c r="AB50" s="134">
        <f>세출명세서!T269</f>
        <v>0</v>
      </c>
      <c r="AC50" s="91">
        <f t="shared" si="52"/>
        <v>-8000000</v>
      </c>
      <c r="AD50" s="92">
        <f t="shared" si="51"/>
        <v>-1</v>
      </c>
    </row>
    <row r="51" spans="1:30" s="10" customFormat="1" ht="19.5" x14ac:dyDescent="0.3">
      <c r="A51" s="176"/>
      <c r="B51" s="183"/>
      <c r="C51" s="211"/>
      <c r="D51" s="184"/>
      <c r="E51" s="211"/>
      <c r="F51" s="211"/>
      <c r="G51" s="211"/>
      <c r="H51" s="211"/>
      <c r="I51" s="211"/>
      <c r="J51" s="211"/>
      <c r="K51" s="211"/>
      <c r="L51" s="211"/>
      <c r="M51" s="211"/>
      <c r="N51" s="211"/>
      <c r="O51" s="211"/>
      <c r="P51" s="211"/>
      <c r="Q51" s="211"/>
      <c r="R51" s="209"/>
      <c r="S51" s="101"/>
      <c r="T51" s="179" t="s">
        <v>476</v>
      </c>
      <c r="U51" s="134"/>
      <c r="V51" s="134"/>
      <c r="W51" s="134"/>
      <c r="X51" s="134"/>
      <c r="Y51" s="134"/>
      <c r="Z51" s="134"/>
      <c r="AA51" s="134">
        <f>세출명세서!S270</f>
        <v>775000</v>
      </c>
      <c r="AB51" s="134">
        <f>세출명세서!T270</f>
        <v>0</v>
      </c>
      <c r="AC51" s="91">
        <f t="shared" si="52"/>
        <v>-775000</v>
      </c>
      <c r="AD51" s="92">
        <f t="shared" si="51"/>
        <v>-1</v>
      </c>
    </row>
    <row r="52" spans="1:30" s="7" customFormat="1" ht="19.5" x14ac:dyDescent="0.3">
      <c r="A52" s="176"/>
      <c r="B52" s="183"/>
      <c r="C52" s="211"/>
      <c r="D52" s="184"/>
      <c r="E52" s="211"/>
      <c r="F52" s="211"/>
      <c r="G52" s="211"/>
      <c r="H52" s="211"/>
      <c r="I52" s="211"/>
      <c r="J52" s="211"/>
      <c r="K52" s="211"/>
      <c r="L52" s="211"/>
      <c r="M52" s="211"/>
      <c r="N52" s="211"/>
      <c r="O52" s="211"/>
      <c r="P52" s="211"/>
      <c r="Q52" s="211"/>
      <c r="R52" s="209"/>
      <c r="S52" s="101"/>
      <c r="T52" s="179" t="s">
        <v>477</v>
      </c>
      <c r="U52" s="134"/>
      <c r="V52" s="134"/>
      <c r="W52" s="134"/>
      <c r="X52" s="134"/>
      <c r="Y52" s="134"/>
      <c r="Z52" s="134"/>
      <c r="AA52" s="134">
        <f>세출명세서!S271</f>
        <v>32200000</v>
      </c>
      <c r="AB52" s="134">
        <f>세출명세서!T271</f>
        <v>0</v>
      </c>
      <c r="AC52" s="91">
        <f t="shared" si="52"/>
        <v>-32200000</v>
      </c>
      <c r="AD52" s="92">
        <f t="shared" si="51"/>
        <v>-1</v>
      </c>
    </row>
    <row r="53" spans="1:30" s="7" customFormat="1" ht="31.5" x14ac:dyDescent="0.3">
      <c r="A53" s="176"/>
      <c r="B53" s="183"/>
      <c r="C53" s="211"/>
      <c r="D53" s="184"/>
      <c r="E53" s="211"/>
      <c r="F53" s="211"/>
      <c r="G53" s="211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09"/>
      <c r="S53" s="101"/>
      <c r="T53" s="218" t="s">
        <v>480</v>
      </c>
      <c r="U53" s="134"/>
      <c r="V53" s="134"/>
      <c r="W53" s="134"/>
      <c r="X53" s="134"/>
      <c r="Y53" s="134"/>
      <c r="Z53" s="134"/>
      <c r="AA53" s="134">
        <f>세출명세서!S272</f>
        <v>1600000</v>
      </c>
      <c r="AB53" s="134">
        <f>세출명세서!T272</f>
        <v>0</v>
      </c>
      <c r="AC53" s="91">
        <f t="shared" si="52"/>
        <v>-1600000</v>
      </c>
      <c r="AD53" s="92">
        <f t="shared" si="51"/>
        <v>-1</v>
      </c>
    </row>
    <row r="54" spans="1:30" ht="28.5" customHeight="1" x14ac:dyDescent="0.3">
      <c r="A54" s="176"/>
      <c r="B54" s="183"/>
      <c r="C54" s="211"/>
      <c r="D54" s="184"/>
      <c r="E54" s="211"/>
      <c r="F54" s="211"/>
      <c r="G54" s="211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09"/>
      <c r="S54" s="101"/>
      <c r="T54" s="218" t="s">
        <v>481</v>
      </c>
      <c r="U54" s="134"/>
      <c r="V54" s="134"/>
      <c r="W54" s="134"/>
      <c r="X54" s="134"/>
      <c r="Y54" s="134"/>
      <c r="Z54" s="134"/>
      <c r="AA54" s="134">
        <f>세출명세서!S273</f>
        <v>6400000</v>
      </c>
      <c r="AB54" s="134">
        <f>세출명세서!T273</f>
        <v>0</v>
      </c>
      <c r="AC54" s="91">
        <f t="shared" si="52"/>
        <v>-6400000</v>
      </c>
      <c r="AD54" s="92">
        <f t="shared" si="51"/>
        <v>-1</v>
      </c>
    </row>
    <row r="55" spans="1:30" ht="28.5" customHeight="1" x14ac:dyDescent="0.3">
      <c r="A55" s="176"/>
      <c r="B55" s="183"/>
      <c r="C55" s="178"/>
      <c r="D55" s="184"/>
      <c r="E55" s="178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209"/>
      <c r="S55" s="101"/>
      <c r="T55" s="179" t="s">
        <v>482</v>
      </c>
      <c r="U55" s="134"/>
      <c r="V55" s="134"/>
      <c r="W55" s="134"/>
      <c r="X55" s="134"/>
      <c r="Y55" s="134"/>
      <c r="Z55" s="134"/>
      <c r="AA55" s="134">
        <f>세출명세서!S274</f>
        <v>14125000</v>
      </c>
      <c r="AB55" s="134">
        <f>세출명세서!T274</f>
        <v>0</v>
      </c>
      <c r="AC55" s="91">
        <f t="shared" si="52"/>
        <v>-14125000</v>
      </c>
      <c r="AD55" s="92">
        <f t="shared" si="51"/>
        <v>-1</v>
      </c>
    </row>
    <row r="56" spans="1:30" ht="28.5" customHeight="1" x14ac:dyDescent="0.3">
      <c r="A56" s="176"/>
      <c r="B56" s="183"/>
      <c r="C56" s="178"/>
      <c r="D56" s="184"/>
      <c r="E56" s="178"/>
      <c r="F56" s="178"/>
      <c r="G56" s="178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221"/>
      <c r="S56" s="172"/>
      <c r="T56" s="179" t="s">
        <v>483</v>
      </c>
      <c r="U56" s="134"/>
      <c r="V56" s="134"/>
      <c r="W56" s="134"/>
      <c r="X56" s="134"/>
      <c r="Y56" s="134"/>
      <c r="Z56" s="134"/>
      <c r="AA56" s="134">
        <f>세출명세서!S275</f>
        <v>44716000</v>
      </c>
      <c r="AB56" s="134">
        <f>세출명세서!T275</f>
        <v>11800000</v>
      </c>
      <c r="AC56" s="91">
        <f t="shared" ref="AC56" si="53">AB56-AA56</f>
        <v>-32916000</v>
      </c>
      <c r="AD56" s="92">
        <f t="shared" ref="AD56" si="54">AC56/AA56</f>
        <v>-0.73611235351999282</v>
      </c>
    </row>
    <row r="57" spans="1:30" ht="28.5" customHeight="1" x14ac:dyDescent="0.3">
      <c r="A57" s="176"/>
      <c r="B57" s="183"/>
      <c r="C57" s="178"/>
      <c r="D57" s="184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87"/>
      <c r="R57" s="258" t="s">
        <v>6</v>
      </c>
      <c r="S57" s="136" t="s">
        <v>6</v>
      </c>
      <c r="T57" s="188" t="s">
        <v>19</v>
      </c>
      <c r="U57" s="189">
        <f t="shared" ref="U57:AB58" si="55">U58</f>
        <v>40000</v>
      </c>
      <c r="V57" s="189">
        <f t="shared" si="55"/>
        <v>131000</v>
      </c>
      <c r="W57" s="189">
        <f t="shared" si="55"/>
        <v>205000</v>
      </c>
      <c r="X57" s="189">
        <f t="shared" si="55"/>
        <v>205000</v>
      </c>
      <c r="Y57" s="189">
        <f t="shared" si="55"/>
        <v>200000</v>
      </c>
      <c r="Z57" s="189">
        <f t="shared" si="55"/>
        <v>203000</v>
      </c>
      <c r="AA57" s="189">
        <f t="shared" si="55"/>
        <v>4097000</v>
      </c>
      <c r="AB57" s="189">
        <f t="shared" si="55"/>
        <v>0</v>
      </c>
      <c r="AC57" s="219">
        <f t="shared" si="7"/>
        <v>-4097000</v>
      </c>
      <c r="AD57" s="220">
        <f t="shared" si="8"/>
        <v>-1</v>
      </c>
    </row>
    <row r="58" spans="1:30" ht="28.5" customHeight="1" x14ac:dyDescent="0.3">
      <c r="A58" s="176"/>
      <c r="B58" s="177"/>
      <c r="C58" s="177"/>
      <c r="D58" s="177"/>
      <c r="E58" s="187"/>
      <c r="F58" s="187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258"/>
      <c r="S58" s="136"/>
      <c r="T58" s="190" t="s">
        <v>16</v>
      </c>
      <c r="U58" s="189">
        <f t="shared" si="55"/>
        <v>40000</v>
      </c>
      <c r="V58" s="189">
        <f t="shared" si="55"/>
        <v>131000</v>
      </c>
      <c r="W58" s="189">
        <f t="shared" si="55"/>
        <v>205000</v>
      </c>
      <c r="X58" s="189">
        <f t="shared" si="55"/>
        <v>205000</v>
      </c>
      <c r="Y58" s="189">
        <f t="shared" si="55"/>
        <v>200000</v>
      </c>
      <c r="Z58" s="189">
        <f t="shared" si="55"/>
        <v>203000</v>
      </c>
      <c r="AA58" s="189">
        <f t="shared" si="55"/>
        <v>4097000</v>
      </c>
      <c r="AB58" s="189">
        <f t="shared" si="55"/>
        <v>0</v>
      </c>
      <c r="AC58" s="121">
        <f t="shared" si="7"/>
        <v>-4097000</v>
      </c>
      <c r="AD58" s="122">
        <f t="shared" si="8"/>
        <v>-1</v>
      </c>
    </row>
    <row r="59" spans="1:30" ht="28.5" customHeight="1" x14ac:dyDescent="0.3">
      <c r="A59" s="176"/>
      <c r="B59" s="177"/>
      <c r="C59" s="177"/>
      <c r="D59" s="177"/>
      <c r="E59" s="187"/>
      <c r="F59" s="187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91">
        <f>AA57/AA5*100</f>
        <v>0.12542184844314047</v>
      </c>
      <c r="S59" s="132">
        <f>AA57/AA5*100</f>
        <v>0.12542184844314047</v>
      </c>
      <c r="T59" s="179" t="s">
        <v>6</v>
      </c>
      <c r="U59" s="134">
        <f>세출명세서!M278</f>
        <v>40000</v>
      </c>
      <c r="V59" s="134">
        <f>세출명세서!N278</f>
        <v>131000</v>
      </c>
      <c r="W59" s="134">
        <f>세출명세서!O278</f>
        <v>205000</v>
      </c>
      <c r="X59" s="134">
        <f>세출명세서!P278</f>
        <v>205000</v>
      </c>
      <c r="Y59" s="134">
        <f>세출명세서!Q278</f>
        <v>200000</v>
      </c>
      <c r="Z59" s="134">
        <f>세출명세서!R278</f>
        <v>203000</v>
      </c>
      <c r="AA59" s="134">
        <f>세출명세서!S278</f>
        <v>4097000</v>
      </c>
      <c r="AB59" s="134">
        <f>세출명세서!T278</f>
        <v>0</v>
      </c>
      <c r="AC59" s="91">
        <f t="shared" si="7"/>
        <v>-4097000</v>
      </c>
      <c r="AD59" s="92">
        <f t="shared" si="8"/>
        <v>-1</v>
      </c>
    </row>
    <row r="60" spans="1:30" ht="28.5" customHeight="1" x14ac:dyDescent="0.3">
      <c r="A60" s="176"/>
      <c r="B60" s="177"/>
      <c r="C60" s="177"/>
      <c r="D60" s="17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259" t="s">
        <v>65</v>
      </c>
      <c r="S60" s="260" t="s">
        <v>66</v>
      </c>
      <c r="T60" s="192" t="s">
        <v>19</v>
      </c>
      <c r="U60" s="189">
        <f>U61</f>
        <v>5971000</v>
      </c>
      <c r="V60" s="189">
        <f>V61</f>
        <v>8665000</v>
      </c>
      <c r="W60" s="189">
        <f>W61</f>
        <v>20502000</v>
      </c>
      <c r="X60" s="189">
        <f>X61</f>
        <v>3775000</v>
      </c>
      <c r="Y60" s="189">
        <f t="shared" ref="Y60:AB60" si="56">Y61</f>
        <v>8427000</v>
      </c>
      <c r="Z60" s="189">
        <f t="shared" si="56"/>
        <v>8670000</v>
      </c>
      <c r="AA60" s="189">
        <f t="shared" si="56"/>
        <v>40458000</v>
      </c>
      <c r="AB60" s="189">
        <f t="shared" si="56"/>
        <v>8251000</v>
      </c>
      <c r="AC60" s="121">
        <f t="shared" si="7"/>
        <v>-32207000</v>
      </c>
      <c r="AD60" s="122">
        <f t="shared" si="8"/>
        <v>-0.79606011172079683</v>
      </c>
    </row>
    <row r="61" spans="1:30" ht="28.5" customHeight="1" x14ac:dyDescent="0.3">
      <c r="A61" s="176"/>
      <c r="B61" s="177"/>
      <c r="C61" s="177"/>
      <c r="D61" s="177"/>
      <c r="E61" s="187"/>
      <c r="F61" s="187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258"/>
      <c r="S61" s="261"/>
      <c r="T61" s="82" t="s">
        <v>16</v>
      </c>
      <c r="U61" s="138">
        <f>SUM(U62:U63)</f>
        <v>5971000</v>
      </c>
      <c r="V61" s="138">
        <f>SUM(V62:V63)</f>
        <v>8665000</v>
      </c>
      <c r="W61" s="138">
        <f>SUM(W62:W63)</f>
        <v>20502000</v>
      </c>
      <c r="X61" s="138">
        <f>SUM(X62:X63)</f>
        <v>3775000</v>
      </c>
      <c r="Y61" s="138">
        <f t="shared" ref="Y61:AA61" si="57">SUM(Y62:Y63)</f>
        <v>8427000</v>
      </c>
      <c r="Z61" s="138">
        <f t="shared" ref="Z61" si="58">SUM(Z62:Z63)</f>
        <v>8670000</v>
      </c>
      <c r="AA61" s="138">
        <f t="shared" si="57"/>
        <v>40458000</v>
      </c>
      <c r="AB61" s="138">
        <f t="shared" ref="AB61" si="59">SUM(AB62:AB63)</f>
        <v>8251000</v>
      </c>
      <c r="AC61" s="121">
        <f t="shared" si="7"/>
        <v>-32207000</v>
      </c>
      <c r="AD61" s="122">
        <f t="shared" si="8"/>
        <v>-0.79606011172079683</v>
      </c>
    </row>
    <row r="62" spans="1:30" ht="23.25" customHeight="1" x14ac:dyDescent="0.3">
      <c r="A62" s="176"/>
      <c r="B62" s="177"/>
      <c r="C62" s="177"/>
      <c r="D62" s="177"/>
      <c r="E62" s="187"/>
      <c r="F62" s="187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80">
        <f>AA60/AA5*100</f>
        <v>1.238544580012833</v>
      </c>
      <c r="S62" s="89">
        <f>AA60/AA5*100</f>
        <v>1.238544580012833</v>
      </c>
      <c r="T62" s="90" t="s">
        <v>67</v>
      </c>
      <c r="U62" s="134">
        <f>세출명세서!M281</f>
        <v>5971000</v>
      </c>
      <c r="V62" s="134">
        <f>세출명세서!N281</f>
        <v>8509000</v>
      </c>
      <c r="W62" s="134">
        <f>세출명세서!O281</f>
        <v>20346000</v>
      </c>
      <c r="X62" s="134">
        <f>세출명세서!P281</f>
        <v>3619000</v>
      </c>
      <c r="Y62" s="134">
        <f>세출명세서!Q281</f>
        <v>8427000</v>
      </c>
      <c r="Z62" s="134">
        <f>세출명세서!R281</f>
        <v>8427000</v>
      </c>
      <c r="AA62" s="134">
        <f>세출명세서!S281</f>
        <v>5567000</v>
      </c>
      <c r="AB62" s="134">
        <f>세출명세서!T281</f>
        <v>8251000</v>
      </c>
      <c r="AC62" s="91">
        <f t="shared" si="7"/>
        <v>2684000</v>
      </c>
      <c r="AD62" s="92">
        <f t="shared" si="8"/>
        <v>0.48212681875336805</v>
      </c>
    </row>
    <row r="63" spans="1:30" ht="23.25" customHeight="1" thickBot="1" x14ac:dyDescent="0.35">
      <c r="A63" s="193"/>
      <c r="B63" s="194"/>
      <c r="C63" s="194"/>
      <c r="D63" s="194"/>
      <c r="E63" s="195"/>
      <c r="F63" s="195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6"/>
      <c r="S63" s="197"/>
      <c r="T63" s="198" t="s">
        <v>68</v>
      </c>
      <c r="U63" s="199">
        <f>세출명세서!M283</f>
        <v>0</v>
      </c>
      <c r="V63" s="199">
        <f>세출명세서!N283</f>
        <v>156000</v>
      </c>
      <c r="W63" s="199">
        <f>세출명세서!O283</f>
        <v>156000</v>
      </c>
      <c r="X63" s="199">
        <f>세출명세서!P283</f>
        <v>156000</v>
      </c>
      <c r="Y63" s="199">
        <f>세출명세서!Q283</f>
        <v>0</v>
      </c>
      <c r="Z63" s="199">
        <f>세출명세서!R283</f>
        <v>243000</v>
      </c>
      <c r="AA63" s="199">
        <f>세출명세서!S283</f>
        <v>34891000</v>
      </c>
      <c r="AB63" s="199">
        <f>세출명세서!T283</f>
        <v>0</v>
      </c>
      <c r="AC63" s="199">
        <f>AB63-AA63</f>
        <v>-34891000</v>
      </c>
      <c r="AD63" s="200">
        <f>AC63/AA63</f>
        <v>-1</v>
      </c>
    </row>
    <row r="64" spans="1:30" x14ac:dyDescent="0.15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1"/>
      <c r="S64" s="11"/>
      <c r="T64" s="12"/>
      <c r="U64" s="12"/>
      <c r="V64" s="13"/>
      <c r="W64" s="13"/>
      <c r="X64" s="13"/>
      <c r="Y64" s="13"/>
      <c r="Z64" s="13"/>
      <c r="AA64" s="13"/>
      <c r="AB64" s="13"/>
      <c r="AC64" s="13"/>
      <c r="AD64" s="10"/>
    </row>
    <row r="65" spans="1:30" x14ac:dyDescent="0.15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1"/>
      <c r="S65" s="11"/>
      <c r="T65" s="12"/>
      <c r="U65" s="12"/>
      <c r="V65" s="13"/>
      <c r="W65" s="13"/>
      <c r="X65" s="13"/>
      <c r="Y65" s="13"/>
      <c r="Z65" s="13"/>
      <c r="AA65" s="13"/>
      <c r="AB65" s="13"/>
      <c r="AC65" s="13"/>
      <c r="AD65" s="10"/>
    </row>
    <row r="66" spans="1:30" x14ac:dyDescent="0.15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1"/>
      <c r="S66" s="39"/>
      <c r="T66" s="39"/>
      <c r="U66" s="39"/>
      <c r="V66" s="40"/>
      <c r="W66" s="40"/>
      <c r="X66" s="40"/>
      <c r="Y66" s="40"/>
      <c r="Z66" s="40"/>
      <c r="AA66" s="40"/>
      <c r="AB66" s="40"/>
      <c r="AC66" s="40"/>
      <c r="AD66" s="10"/>
    </row>
    <row r="67" spans="1:30" x14ac:dyDescent="0.15">
      <c r="A67" s="14"/>
      <c r="B67" s="14"/>
      <c r="C67" s="14"/>
      <c r="D67" s="14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39"/>
      <c r="S67" s="39"/>
      <c r="T67" s="39"/>
      <c r="U67" s="39"/>
      <c r="V67" s="40"/>
      <c r="W67" s="40"/>
      <c r="X67" s="40"/>
      <c r="Y67" s="40"/>
      <c r="Z67" s="40"/>
      <c r="AA67" s="40"/>
      <c r="AB67" s="40"/>
      <c r="AC67" s="40"/>
      <c r="AD67" s="10"/>
    </row>
    <row r="68" spans="1:30" x14ac:dyDescent="0.15">
      <c r="A68" s="14"/>
      <c r="B68" s="14"/>
      <c r="C68" s="14"/>
      <c r="D68" s="14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39"/>
      <c r="S68" s="39"/>
      <c r="T68" s="39"/>
      <c r="U68" s="39"/>
      <c r="V68" s="40"/>
      <c r="W68" s="40"/>
      <c r="X68" s="40"/>
      <c r="Y68" s="40"/>
      <c r="Z68" s="40"/>
      <c r="AA68" s="40"/>
      <c r="AB68" s="40"/>
      <c r="AC68" s="40"/>
      <c r="AD68" s="10"/>
    </row>
    <row r="69" spans="1:30" x14ac:dyDescent="0.15">
      <c r="A69" s="14"/>
      <c r="B69" s="14"/>
      <c r="C69" s="14"/>
      <c r="D69" s="14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39"/>
      <c r="S69" s="39"/>
      <c r="T69" s="39"/>
      <c r="U69" s="39"/>
      <c r="V69" s="40"/>
      <c r="W69" s="40"/>
      <c r="X69" s="40"/>
      <c r="Y69" s="40"/>
      <c r="Z69" s="40"/>
      <c r="AA69" s="40"/>
      <c r="AB69" s="40"/>
      <c r="AC69" s="40"/>
      <c r="AD69" s="7"/>
    </row>
    <row r="70" spans="1:30" x14ac:dyDescent="0.15">
      <c r="A70" s="14"/>
      <c r="B70" s="14"/>
      <c r="C70" s="14"/>
      <c r="D70" s="14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39"/>
      <c r="S70" s="39"/>
      <c r="T70" s="39"/>
      <c r="U70" s="39"/>
      <c r="V70" s="40"/>
      <c r="W70" s="40"/>
      <c r="X70" s="40"/>
      <c r="Y70" s="40"/>
      <c r="Z70" s="40"/>
      <c r="AA70" s="40"/>
      <c r="AB70" s="40"/>
      <c r="AC70" s="40"/>
      <c r="AD70" s="7"/>
    </row>
    <row r="71" spans="1:30" x14ac:dyDescent="0.15">
      <c r="A71" s="14"/>
      <c r="B71" s="14"/>
      <c r="C71" s="14"/>
      <c r="D71" s="14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39"/>
      <c r="S71" s="39"/>
      <c r="T71" s="39"/>
      <c r="U71" s="39"/>
      <c r="V71" s="40"/>
      <c r="W71" s="40"/>
      <c r="X71" s="40"/>
      <c r="Y71" s="40"/>
      <c r="Z71" s="40"/>
      <c r="AA71" s="40"/>
      <c r="AB71" s="40"/>
      <c r="AC71" s="40"/>
    </row>
    <row r="72" spans="1:30" x14ac:dyDescent="0.15">
      <c r="A72" s="14"/>
      <c r="B72" s="14"/>
      <c r="C72" s="14"/>
      <c r="D72" s="14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39"/>
      <c r="S72" s="39"/>
      <c r="T72" s="39"/>
      <c r="U72" s="39"/>
      <c r="V72" s="40"/>
      <c r="W72" s="40"/>
      <c r="X72" s="40"/>
      <c r="Y72" s="40"/>
      <c r="Z72" s="40"/>
      <c r="AA72" s="40"/>
      <c r="AB72" s="40"/>
      <c r="AC72" s="40"/>
    </row>
    <row r="73" spans="1:30" x14ac:dyDescent="0.15">
      <c r="A73" s="14"/>
      <c r="B73" s="14"/>
      <c r="C73" s="14"/>
      <c r="D73" s="14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39"/>
      <c r="S73" s="39"/>
      <c r="T73" s="39"/>
      <c r="U73" s="39"/>
      <c r="V73" s="40"/>
      <c r="W73" s="40"/>
      <c r="X73" s="40"/>
      <c r="Y73" s="40"/>
      <c r="Z73" s="40"/>
      <c r="AA73" s="40"/>
      <c r="AB73" s="40"/>
      <c r="AC73" s="40"/>
    </row>
    <row r="74" spans="1:30" x14ac:dyDescent="0.15">
      <c r="A74" s="14"/>
      <c r="B74" s="14"/>
      <c r="C74" s="14"/>
      <c r="D74" s="14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39"/>
      <c r="S74" s="39"/>
      <c r="T74" s="39"/>
      <c r="U74" s="39"/>
      <c r="V74" s="40"/>
      <c r="W74" s="40"/>
      <c r="X74" s="40"/>
      <c r="Y74" s="40"/>
      <c r="Z74" s="40"/>
      <c r="AA74" s="40"/>
      <c r="AB74" s="40"/>
      <c r="AC74" s="40"/>
    </row>
    <row r="75" spans="1:30" x14ac:dyDescent="0.15">
      <c r="A75" s="14"/>
      <c r="B75" s="14"/>
      <c r="C75" s="14"/>
      <c r="D75" s="14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39"/>
      <c r="S75" s="39"/>
      <c r="T75" s="39"/>
      <c r="U75" s="39"/>
      <c r="V75" s="40"/>
      <c r="W75" s="40"/>
      <c r="X75" s="40"/>
      <c r="Y75" s="40"/>
      <c r="Z75" s="40"/>
      <c r="AA75" s="40"/>
      <c r="AB75" s="40"/>
      <c r="AC75" s="40"/>
    </row>
    <row r="76" spans="1:30" x14ac:dyDescent="0.15">
      <c r="A76" s="14"/>
      <c r="B76" s="14"/>
      <c r="C76" s="14"/>
      <c r="D76" s="14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39"/>
      <c r="S76" s="39"/>
      <c r="T76" s="39"/>
      <c r="U76" s="39"/>
      <c r="V76" s="40"/>
      <c r="W76" s="40"/>
      <c r="X76" s="40"/>
      <c r="Y76" s="40"/>
      <c r="Z76" s="40"/>
      <c r="AA76" s="40"/>
      <c r="AB76" s="40"/>
      <c r="AC76" s="40"/>
    </row>
    <row r="77" spans="1:30" x14ac:dyDescent="0.15">
      <c r="A77" s="14"/>
      <c r="B77" s="14"/>
      <c r="C77" s="14"/>
      <c r="D77" s="14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39"/>
      <c r="S77" s="39"/>
      <c r="T77" s="39"/>
      <c r="U77" s="39"/>
      <c r="V77" s="40"/>
      <c r="W77" s="40"/>
      <c r="X77" s="40"/>
      <c r="Y77" s="40"/>
      <c r="Z77" s="40"/>
      <c r="AA77" s="40"/>
      <c r="AB77" s="40"/>
      <c r="AC77" s="40"/>
    </row>
    <row r="78" spans="1:30" x14ac:dyDescent="0.15">
      <c r="A78" s="14"/>
      <c r="B78" s="14"/>
      <c r="C78" s="14"/>
      <c r="D78" s="14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39"/>
      <c r="S78" s="39"/>
      <c r="T78" s="39"/>
      <c r="U78" s="39"/>
      <c r="V78" s="40"/>
      <c r="W78" s="40"/>
      <c r="X78" s="40"/>
      <c r="Y78" s="40"/>
      <c r="Z78" s="40"/>
      <c r="AA78" s="40"/>
      <c r="AB78" s="40"/>
      <c r="AC78" s="40"/>
    </row>
    <row r="79" spans="1:30" x14ac:dyDescent="0.15">
      <c r="A79" s="14"/>
      <c r="B79" s="14"/>
      <c r="C79" s="14"/>
      <c r="D79" s="14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39"/>
      <c r="S79" s="39"/>
      <c r="T79" s="39"/>
      <c r="U79" s="39"/>
      <c r="V79" s="40"/>
      <c r="W79" s="40"/>
      <c r="X79" s="40"/>
      <c r="Y79" s="40"/>
      <c r="Z79" s="40"/>
      <c r="AA79" s="40"/>
      <c r="AB79" s="40"/>
      <c r="AC79" s="40"/>
    </row>
    <row r="80" spans="1:30" x14ac:dyDescent="0.15">
      <c r="A80" s="14"/>
      <c r="B80" s="14"/>
      <c r="C80" s="14"/>
      <c r="D80" s="14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39"/>
      <c r="S80" s="39"/>
      <c r="T80" s="39"/>
      <c r="U80" s="39"/>
      <c r="V80" s="40"/>
      <c r="W80" s="40"/>
      <c r="X80" s="40"/>
      <c r="Y80" s="40"/>
      <c r="Z80" s="40"/>
      <c r="AA80" s="40"/>
      <c r="AB80" s="40"/>
      <c r="AC80" s="40"/>
    </row>
    <row r="81" spans="1:29" x14ac:dyDescent="0.15">
      <c r="A81" s="14"/>
      <c r="B81" s="14"/>
      <c r="C81" s="14"/>
      <c r="D81" s="14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39"/>
      <c r="S81" s="39"/>
      <c r="T81" s="39"/>
      <c r="U81" s="39"/>
      <c r="V81" s="40"/>
      <c r="W81" s="40"/>
      <c r="X81" s="40"/>
      <c r="Y81" s="40"/>
      <c r="Z81" s="40"/>
      <c r="AA81" s="40"/>
      <c r="AB81" s="40"/>
      <c r="AC81" s="40"/>
    </row>
    <row r="82" spans="1:29" x14ac:dyDescent="0.15">
      <c r="A82" s="14"/>
      <c r="B82" s="14"/>
      <c r="C82" s="14"/>
      <c r="D82" s="14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39"/>
      <c r="S82" s="39"/>
      <c r="T82" s="39"/>
      <c r="U82" s="39"/>
      <c r="V82" s="40"/>
      <c r="W82" s="40"/>
      <c r="X82" s="40"/>
      <c r="Y82" s="40"/>
      <c r="Z82" s="40"/>
      <c r="AA82" s="40"/>
      <c r="AB82" s="40"/>
      <c r="AC82" s="40"/>
    </row>
    <row r="83" spans="1:29" x14ac:dyDescent="0.15">
      <c r="A83" s="14"/>
      <c r="B83" s="14"/>
      <c r="C83" s="14"/>
      <c r="D83" s="14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39"/>
      <c r="S83" s="39"/>
      <c r="T83" s="39"/>
      <c r="U83" s="39"/>
      <c r="V83" s="40"/>
      <c r="W83" s="40"/>
      <c r="X83" s="40"/>
      <c r="Y83" s="40"/>
      <c r="Z83" s="40"/>
      <c r="AA83" s="40"/>
      <c r="AB83" s="40"/>
      <c r="AC83" s="40"/>
    </row>
    <row r="84" spans="1:29" x14ac:dyDescent="0.15">
      <c r="A84" s="14"/>
      <c r="B84" s="14"/>
      <c r="C84" s="14"/>
      <c r="D84" s="14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39"/>
      <c r="S84" s="39"/>
      <c r="T84" s="39"/>
      <c r="U84" s="39"/>
      <c r="V84" s="40"/>
      <c r="W84" s="40"/>
      <c r="X84" s="40"/>
      <c r="Y84" s="40"/>
      <c r="Z84" s="40"/>
      <c r="AA84" s="40"/>
      <c r="AB84" s="40"/>
      <c r="AC84" s="40"/>
    </row>
    <row r="85" spans="1:29" x14ac:dyDescent="0.15">
      <c r="A85" s="14"/>
      <c r="B85" s="14"/>
      <c r="C85" s="14"/>
      <c r="D85" s="14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39"/>
      <c r="S85" s="39"/>
      <c r="T85" s="39"/>
      <c r="U85" s="39"/>
      <c r="V85" s="40"/>
      <c r="W85" s="40"/>
      <c r="X85" s="40"/>
      <c r="Y85" s="40"/>
      <c r="Z85" s="40"/>
      <c r="AA85" s="40"/>
      <c r="AB85" s="40"/>
      <c r="AC85" s="40"/>
    </row>
    <row r="86" spans="1:29" x14ac:dyDescent="0.15">
      <c r="A86" s="14"/>
      <c r="B86" s="14"/>
      <c r="C86" s="14"/>
      <c r="D86" s="14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39"/>
      <c r="S86" s="39"/>
      <c r="T86" s="39"/>
      <c r="U86" s="39"/>
      <c r="V86" s="40"/>
      <c r="W86" s="40"/>
      <c r="X86" s="40"/>
      <c r="Y86" s="40"/>
      <c r="Z86" s="40"/>
      <c r="AA86" s="40"/>
      <c r="AB86" s="40"/>
      <c r="AC86" s="40"/>
    </row>
    <row r="87" spans="1:29" x14ac:dyDescent="0.15">
      <c r="A87" s="14"/>
      <c r="B87" s="14"/>
      <c r="C87" s="14"/>
      <c r="D87" s="14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39"/>
      <c r="S87" s="39"/>
      <c r="T87" s="39"/>
      <c r="U87" s="39"/>
      <c r="V87" s="40"/>
      <c r="W87" s="40"/>
      <c r="X87" s="40"/>
      <c r="Y87" s="40"/>
      <c r="Z87" s="40"/>
      <c r="AA87" s="40"/>
      <c r="AB87" s="40"/>
      <c r="AC87" s="40"/>
    </row>
    <row r="88" spans="1:29" x14ac:dyDescent="0.15">
      <c r="A88" s="14"/>
      <c r="B88" s="14"/>
      <c r="C88" s="14"/>
      <c r="D88" s="14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39"/>
      <c r="S88" s="39"/>
      <c r="T88" s="39"/>
      <c r="U88" s="39"/>
      <c r="V88" s="40"/>
      <c r="W88" s="40"/>
      <c r="X88" s="40"/>
      <c r="Y88" s="40"/>
      <c r="Z88" s="40"/>
      <c r="AA88" s="40"/>
      <c r="AB88" s="40"/>
      <c r="AC88" s="40"/>
    </row>
    <row r="89" spans="1:29" x14ac:dyDescent="0.15">
      <c r="A89" s="14"/>
      <c r="B89" s="14"/>
      <c r="C89" s="14"/>
      <c r="D89" s="14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39"/>
      <c r="S89" s="39"/>
      <c r="T89" s="39"/>
      <c r="U89" s="39"/>
      <c r="V89" s="40"/>
      <c r="W89" s="40"/>
      <c r="X89" s="40"/>
      <c r="Y89" s="40"/>
      <c r="Z89" s="40"/>
      <c r="AA89" s="40"/>
      <c r="AB89" s="40"/>
      <c r="AC89" s="40"/>
    </row>
    <row r="90" spans="1:29" x14ac:dyDescent="0.15">
      <c r="A90" s="14"/>
      <c r="B90" s="14"/>
      <c r="C90" s="14"/>
      <c r="D90" s="14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39"/>
      <c r="S90" s="39"/>
      <c r="T90" s="39"/>
      <c r="U90" s="39"/>
      <c r="V90" s="40"/>
      <c r="W90" s="40"/>
      <c r="X90" s="40"/>
      <c r="Y90" s="40"/>
      <c r="Z90" s="40"/>
      <c r="AA90" s="40"/>
      <c r="AB90" s="40"/>
      <c r="AC90" s="40"/>
    </row>
    <row r="91" spans="1:29" x14ac:dyDescent="0.15">
      <c r="A91" s="14"/>
      <c r="B91" s="14"/>
      <c r="C91" s="14"/>
      <c r="D91" s="14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39"/>
      <c r="S91" s="39"/>
      <c r="T91" s="39"/>
      <c r="U91" s="39"/>
      <c r="V91" s="40"/>
      <c r="W91" s="40"/>
      <c r="X91" s="40"/>
      <c r="Y91" s="40"/>
      <c r="Z91" s="40"/>
      <c r="AA91" s="40"/>
      <c r="AB91" s="40"/>
      <c r="AC91" s="40"/>
    </row>
    <row r="92" spans="1:29" x14ac:dyDescent="0.15">
      <c r="A92" s="14"/>
      <c r="B92" s="14"/>
      <c r="C92" s="14"/>
      <c r="D92" s="14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39"/>
      <c r="S92" s="39"/>
      <c r="T92" s="39"/>
      <c r="U92" s="39"/>
      <c r="V92" s="40"/>
      <c r="W92" s="40"/>
      <c r="X92" s="40"/>
      <c r="Y92" s="40"/>
      <c r="Z92" s="40"/>
      <c r="AA92" s="40"/>
      <c r="AB92" s="40"/>
      <c r="AC92" s="40"/>
    </row>
    <row r="93" spans="1:29" x14ac:dyDescent="0.15">
      <c r="A93" s="14"/>
      <c r="B93" s="14"/>
      <c r="C93" s="14"/>
      <c r="D93" s="14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39"/>
      <c r="S93" s="39"/>
      <c r="T93" s="39"/>
      <c r="U93" s="39"/>
      <c r="V93" s="40"/>
      <c r="W93" s="40"/>
      <c r="X93" s="40"/>
      <c r="Y93" s="40"/>
      <c r="Z93" s="40"/>
      <c r="AA93" s="40"/>
      <c r="AB93" s="40"/>
      <c r="AC93" s="40"/>
    </row>
    <row r="94" spans="1:29" x14ac:dyDescent="0.15">
      <c r="A94" s="14"/>
      <c r="B94" s="14"/>
      <c r="C94" s="14"/>
      <c r="D94" s="14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39"/>
      <c r="S94" s="39"/>
      <c r="T94" s="39"/>
      <c r="U94" s="39"/>
      <c r="V94" s="40"/>
      <c r="W94" s="40"/>
      <c r="X94" s="40"/>
      <c r="Y94" s="40"/>
      <c r="Z94" s="40"/>
      <c r="AA94" s="40"/>
      <c r="AB94" s="40"/>
      <c r="AC94" s="40"/>
    </row>
    <row r="95" spans="1:29" x14ac:dyDescent="0.15">
      <c r="A95" s="14"/>
      <c r="B95" s="14"/>
      <c r="C95" s="14"/>
      <c r="D95" s="14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39"/>
      <c r="S95" s="39"/>
      <c r="T95" s="39"/>
      <c r="U95" s="39"/>
      <c r="V95" s="40"/>
      <c r="W95" s="40"/>
      <c r="X95" s="40"/>
      <c r="Y95" s="40"/>
      <c r="Z95" s="40"/>
      <c r="AA95" s="40"/>
      <c r="AB95" s="40"/>
      <c r="AC95" s="40"/>
    </row>
    <row r="96" spans="1:29" x14ac:dyDescent="0.15">
      <c r="A96" s="14"/>
      <c r="B96" s="14"/>
      <c r="C96" s="14"/>
      <c r="D96" s="14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39"/>
      <c r="S96" s="39"/>
      <c r="T96" s="39"/>
      <c r="U96" s="39"/>
      <c r="V96" s="40"/>
      <c r="W96" s="40"/>
      <c r="X96" s="40"/>
      <c r="Y96" s="40"/>
      <c r="Z96" s="40"/>
      <c r="AA96" s="40"/>
      <c r="AB96" s="40"/>
      <c r="AC96" s="40"/>
    </row>
    <row r="97" spans="1:29" x14ac:dyDescent="0.15">
      <c r="A97" s="14"/>
      <c r="B97" s="14"/>
      <c r="C97" s="14"/>
      <c r="D97" s="14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39"/>
      <c r="S97" s="39"/>
      <c r="T97" s="39"/>
      <c r="U97" s="39"/>
      <c r="V97" s="40"/>
      <c r="W97" s="40"/>
      <c r="X97" s="40"/>
      <c r="Y97" s="40"/>
      <c r="Z97" s="40"/>
      <c r="AA97" s="40"/>
      <c r="AB97" s="40"/>
      <c r="AC97" s="40"/>
    </row>
    <row r="98" spans="1:29" x14ac:dyDescent="0.15">
      <c r="A98" s="14"/>
      <c r="B98" s="14"/>
      <c r="C98" s="14"/>
      <c r="D98" s="14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39"/>
      <c r="S98" s="17"/>
      <c r="T98" s="17"/>
      <c r="U98" s="17"/>
      <c r="V98" s="18"/>
      <c r="W98" s="18"/>
      <c r="X98" s="18"/>
      <c r="Y98" s="18"/>
      <c r="Z98" s="18"/>
      <c r="AA98" s="18"/>
      <c r="AB98" s="18"/>
      <c r="AC98" s="18"/>
    </row>
    <row r="99" spans="1:29" x14ac:dyDescent="0.15">
      <c r="A99" s="14"/>
      <c r="B99" s="14"/>
      <c r="C99" s="14"/>
      <c r="D99" s="14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39"/>
      <c r="S99" s="17"/>
      <c r="T99" s="17"/>
      <c r="U99" s="17"/>
      <c r="V99" s="18"/>
      <c r="W99" s="18"/>
      <c r="X99" s="18"/>
      <c r="Y99" s="18"/>
      <c r="Z99" s="18"/>
      <c r="AA99" s="18"/>
      <c r="AB99" s="18"/>
      <c r="AC99" s="18"/>
    </row>
    <row r="100" spans="1:29" x14ac:dyDescent="0.15"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7"/>
      <c r="S100" s="17"/>
      <c r="T100" s="17"/>
      <c r="U100" s="17"/>
      <c r="V100" s="18"/>
      <c r="W100" s="18"/>
      <c r="X100" s="18"/>
      <c r="Y100" s="18"/>
      <c r="Z100" s="18"/>
      <c r="AA100" s="18"/>
      <c r="AB100" s="18"/>
      <c r="AC100" s="18"/>
    </row>
    <row r="101" spans="1:29" x14ac:dyDescent="0.15"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7"/>
      <c r="S101" s="17"/>
      <c r="T101" s="17"/>
      <c r="U101" s="17"/>
      <c r="V101" s="18"/>
      <c r="W101" s="18"/>
      <c r="X101" s="18"/>
      <c r="Y101" s="18"/>
      <c r="Z101" s="18"/>
      <c r="AA101" s="18"/>
      <c r="AB101" s="18"/>
      <c r="AC101" s="18"/>
    </row>
    <row r="102" spans="1:29" x14ac:dyDescent="0.15"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7"/>
      <c r="S102" s="17"/>
      <c r="T102" s="17"/>
      <c r="U102" s="17"/>
      <c r="V102" s="18"/>
      <c r="W102" s="18"/>
      <c r="X102" s="18"/>
      <c r="Y102" s="18"/>
      <c r="Z102" s="18"/>
      <c r="AA102" s="18"/>
      <c r="AB102" s="18"/>
      <c r="AC102" s="18"/>
    </row>
    <row r="103" spans="1:29" x14ac:dyDescent="0.15"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7"/>
      <c r="S103" s="17"/>
      <c r="T103" s="17"/>
      <c r="U103" s="17"/>
      <c r="V103" s="18"/>
      <c r="W103" s="18"/>
      <c r="X103" s="18"/>
      <c r="Y103" s="18"/>
      <c r="Z103" s="18"/>
      <c r="AA103" s="18"/>
      <c r="AB103" s="18"/>
      <c r="AC103" s="18"/>
    </row>
    <row r="104" spans="1:29" x14ac:dyDescent="0.15"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7"/>
      <c r="S104" s="17"/>
      <c r="T104" s="17"/>
      <c r="U104" s="17"/>
      <c r="V104" s="18"/>
      <c r="W104" s="18"/>
      <c r="X104" s="18"/>
      <c r="Y104" s="18"/>
      <c r="Z104" s="18"/>
      <c r="AA104" s="18"/>
      <c r="AB104" s="18"/>
      <c r="AC104" s="18"/>
    </row>
    <row r="105" spans="1:29" x14ac:dyDescent="0.15"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7"/>
      <c r="S105" s="17"/>
      <c r="T105" s="17"/>
      <c r="U105" s="17"/>
      <c r="V105" s="18"/>
      <c r="W105" s="18"/>
      <c r="X105" s="18"/>
      <c r="Y105" s="18"/>
      <c r="Z105" s="18"/>
      <c r="AA105" s="18"/>
      <c r="AB105" s="18"/>
      <c r="AC105" s="18"/>
    </row>
    <row r="106" spans="1:29" x14ac:dyDescent="0.15"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7"/>
      <c r="S106" s="17"/>
      <c r="T106" s="17"/>
      <c r="U106" s="17"/>
      <c r="V106" s="18"/>
      <c r="W106" s="18"/>
      <c r="X106" s="18"/>
      <c r="Y106" s="18"/>
      <c r="Z106" s="18"/>
      <c r="AA106" s="18"/>
      <c r="AB106" s="18"/>
      <c r="AC106" s="18"/>
    </row>
    <row r="107" spans="1:29" x14ac:dyDescent="0.15"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7"/>
      <c r="S107" s="17"/>
      <c r="T107" s="17"/>
      <c r="U107" s="17"/>
      <c r="V107" s="18"/>
      <c r="W107" s="18"/>
      <c r="X107" s="18"/>
      <c r="Y107" s="18"/>
      <c r="Z107" s="18"/>
      <c r="AA107" s="18"/>
      <c r="AB107" s="18"/>
      <c r="AC107" s="18"/>
    </row>
    <row r="108" spans="1:29" x14ac:dyDescent="0.15"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7"/>
      <c r="S108" s="17"/>
      <c r="T108" s="17"/>
      <c r="U108" s="17"/>
      <c r="V108" s="18"/>
      <c r="W108" s="18"/>
      <c r="X108" s="18"/>
      <c r="Y108" s="18"/>
      <c r="Z108" s="18"/>
      <c r="AA108" s="18"/>
      <c r="AB108" s="18"/>
      <c r="AC108" s="18"/>
    </row>
    <row r="109" spans="1:29" x14ac:dyDescent="0.15"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7"/>
      <c r="S109" s="17"/>
      <c r="T109" s="17"/>
      <c r="U109" s="17"/>
      <c r="V109" s="18"/>
      <c r="W109" s="18"/>
      <c r="X109" s="18"/>
      <c r="Y109" s="18"/>
      <c r="Z109" s="18"/>
      <c r="AA109" s="18"/>
      <c r="AB109" s="18"/>
      <c r="AC109" s="18"/>
    </row>
    <row r="110" spans="1:29" x14ac:dyDescent="0.15"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7"/>
      <c r="S110" s="17"/>
      <c r="T110" s="17"/>
      <c r="U110" s="17"/>
      <c r="V110" s="18"/>
      <c r="W110" s="18"/>
      <c r="X110" s="18"/>
      <c r="Y110" s="18"/>
      <c r="Z110" s="18"/>
      <c r="AA110" s="18"/>
      <c r="AB110" s="18"/>
      <c r="AC110" s="18"/>
    </row>
    <row r="111" spans="1:29" x14ac:dyDescent="0.15"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7"/>
      <c r="S111" s="17"/>
      <c r="T111" s="17"/>
      <c r="U111" s="17"/>
      <c r="V111" s="18"/>
      <c r="W111" s="18"/>
      <c r="X111" s="18"/>
      <c r="Y111" s="18"/>
      <c r="Z111" s="18"/>
      <c r="AA111" s="18"/>
      <c r="AB111" s="18"/>
      <c r="AC111" s="18"/>
    </row>
    <row r="112" spans="1:29" x14ac:dyDescent="0.15"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7"/>
      <c r="S112" s="17"/>
      <c r="T112" s="17"/>
      <c r="U112" s="17"/>
      <c r="V112" s="18"/>
      <c r="W112" s="18"/>
      <c r="X112" s="18"/>
      <c r="Y112" s="18"/>
      <c r="Z112" s="18"/>
      <c r="AA112" s="18"/>
      <c r="AB112" s="18"/>
      <c r="AC112" s="18"/>
    </row>
    <row r="113" spans="5:29" x14ac:dyDescent="0.15"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7"/>
      <c r="S113" s="17"/>
      <c r="T113" s="17"/>
      <c r="U113" s="17"/>
      <c r="V113" s="18"/>
      <c r="W113" s="18"/>
      <c r="X113" s="18"/>
      <c r="Y113" s="18"/>
      <c r="Z113" s="18"/>
      <c r="AA113" s="18"/>
      <c r="AB113" s="18"/>
      <c r="AC113" s="18"/>
    </row>
    <row r="114" spans="5:29" x14ac:dyDescent="0.15"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7"/>
      <c r="S114" s="17"/>
      <c r="T114" s="17"/>
      <c r="U114" s="17"/>
      <c r="V114" s="18"/>
      <c r="W114" s="18"/>
      <c r="X114" s="18"/>
      <c r="Y114" s="18"/>
      <c r="Z114" s="18"/>
      <c r="AA114" s="18"/>
      <c r="AB114" s="18"/>
      <c r="AC114" s="18"/>
    </row>
    <row r="115" spans="5:29" x14ac:dyDescent="0.15"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7"/>
      <c r="S115" s="17"/>
      <c r="T115" s="17"/>
      <c r="U115" s="17"/>
      <c r="V115" s="18"/>
      <c r="W115" s="18"/>
      <c r="X115" s="18"/>
      <c r="Y115" s="18"/>
      <c r="Z115" s="18"/>
      <c r="AA115" s="18"/>
      <c r="AB115" s="18"/>
      <c r="AC115" s="18"/>
    </row>
    <row r="116" spans="5:29" x14ac:dyDescent="0.15"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7"/>
      <c r="S116" s="17"/>
      <c r="T116" s="17"/>
      <c r="U116" s="17"/>
      <c r="V116" s="18"/>
      <c r="W116" s="18"/>
      <c r="X116" s="18"/>
      <c r="Y116" s="18"/>
      <c r="Z116" s="18"/>
      <c r="AA116" s="18"/>
      <c r="AB116" s="18"/>
      <c r="AC116" s="18"/>
    </row>
    <row r="117" spans="5:29" x14ac:dyDescent="0.15"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7"/>
      <c r="S117" s="17"/>
      <c r="T117" s="17"/>
      <c r="U117" s="17"/>
      <c r="V117" s="18"/>
      <c r="W117" s="18"/>
      <c r="X117" s="18"/>
      <c r="Y117" s="18"/>
      <c r="Z117" s="18"/>
      <c r="AA117" s="18"/>
      <c r="AB117" s="18"/>
      <c r="AC117" s="18"/>
    </row>
    <row r="118" spans="5:29" x14ac:dyDescent="0.15"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7"/>
      <c r="S118" s="17"/>
      <c r="T118" s="17"/>
      <c r="U118" s="17"/>
      <c r="V118" s="18"/>
      <c r="W118" s="18"/>
      <c r="X118" s="18"/>
      <c r="Y118" s="18"/>
      <c r="Z118" s="18"/>
      <c r="AA118" s="18"/>
      <c r="AB118" s="18"/>
      <c r="AC118" s="18"/>
    </row>
    <row r="119" spans="5:29" x14ac:dyDescent="0.15"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7"/>
      <c r="S119" s="17"/>
      <c r="T119" s="17"/>
      <c r="U119" s="17"/>
      <c r="V119" s="18"/>
      <c r="W119" s="18"/>
      <c r="X119" s="18"/>
      <c r="Y119" s="18"/>
      <c r="Z119" s="18"/>
      <c r="AA119" s="18"/>
      <c r="AB119" s="18"/>
      <c r="AC119" s="18"/>
    </row>
    <row r="120" spans="5:29" x14ac:dyDescent="0.15"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7"/>
      <c r="S120" s="17"/>
      <c r="T120" s="17"/>
      <c r="U120" s="17"/>
      <c r="V120" s="18"/>
      <c r="W120" s="18"/>
      <c r="X120" s="18"/>
      <c r="Y120" s="18"/>
      <c r="Z120" s="18"/>
      <c r="AA120" s="18"/>
      <c r="AB120" s="18"/>
      <c r="AC120" s="18"/>
    </row>
    <row r="121" spans="5:29" x14ac:dyDescent="0.15"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7"/>
      <c r="S121" s="17"/>
      <c r="T121" s="17"/>
      <c r="U121" s="17"/>
      <c r="V121" s="18"/>
      <c r="W121" s="18"/>
      <c r="X121" s="18"/>
      <c r="Y121" s="18"/>
      <c r="Z121" s="18"/>
      <c r="AA121" s="18"/>
      <c r="AB121" s="18"/>
      <c r="AC121" s="18"/>
    </row>
    <row r="122" spans="5:29" x14ac:dyDescent="0.15"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7"/>
      <c r="S122" s="17"/>
      <c r="T122" s="17"/>
      <c r="U122" s="17"/>
      <c r="V122" s="18"/>
      <c r="W122" s="18"/>
      <c r="X122" s="18"/>
      <c r="Y122" s="18"/>
      <c r="Z122" s="18"/>
      <c r="AA122" s="18"/>
      <c r="AB122" s="18"/>
      <c r="AC122" s="18"/>
    </row>
    <row r="123" spans="5:29" x14ac:dyDescent="0.15"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7"/>
      <c r="S123" s="17"/>
      <c r="T123" s="17"/>
      <c r="U123" s="17"/>
      <c r="V123" s="18"/>
      <c r="W123" s="18"/>
      <c r="X123" s="18"/>
      <c r="Y123" s="18"/>
      <c r="Z123" s="18"/>
      <c r="AA123" s="18"/>
      <c r="AB123" s="18"/>
      <c r="AC123" s="18"/>
    </row>
    <row r="124" spans="5:29" x14ac:dyDescent="0.15"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7"/>
      <c r="S124" s="17"/>
      <c r="T124" s="17"/>
      <c r="U124" s="17"/>
      <c r="V124" s="18"/>
      <c r="W124" s="18"/>
      <c r="X124" s="18"/>
      <c r="Y124" s="18"/>
      <c r="Z124" s="18"/>
      <c r="AA124" s="18"/>
      <c r="AB124" s="18"/>
      <c r="AC124" s="18"/>
    </row>
    <row r="125" spans="5:29" x14ac:dyDescent="0.15"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7"/>
      <c r="S125" s="17"/>
      <c r="T125" s="17"/>
      <c r="U125" s="17"/>
      <c r="V125" s="18"/>
      <c r="W125" s="18"/>
      <c r="X125" s="18"/>
      <c r="Y125" s="18"/>
      <c r="Z125" s="18"/>
      <c r="AA125" s="18"/>
      <c r="AB125" s="18"/>
      <c r="AC125" s="18"/>
    </row>
    <row r="126" spans="5:29" x14ac:dyDescent="0.15"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7"/>
      <c r="S126" s="17"/>
      <c r="T126" s="17"/>
      <c r="U126" s="17"/>
      <c r="V126" s="18"/>
      <c r="W126" s="18"/>
      <c r="X126" s="18"/>
      <c r="Y126" s="18"/>
      <c r="Z126" s="18"/>
      <c r="AA126" s="18"/>
      <c r="AB126" s="18"/>
      <c r="AC126" s="18"/>
    </row>
    <row r="127" spans="5:29" x14ac:dyDescent="0.15"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7"/>
      <c r="S127" s="17"/>
      <c r="T127" s="17"/>
      <c r="U127" s="17"/>
      <c r="V127" s="18"/>
      <c r="W127" s="18"/>
      <c r="X127" s="18"/>
      <c r="Y127" s="18"/>
      <c r="Z127" s="18"/>
      <c r="AA127" s="18"/>
      <c r="AB127" s="18"/>
      <c r="AC127" s="18"/>
    </row>
    <row r="128" spans="5:29" x14ac:dyDescent="0.15"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7"/>
      <c r="S128" s="17"/>
      <c r="T128" s="17"/>
      <c r="U128" s="17"/>
      <c r="V128" s="18"/>
      <c r="W128" s="18"/>
      <c r="X128" s="18"/>
      <c r="Y128" s="18"/>
      <c r="Z128" s="18"/>
      <c r="AA128" s="18"/>
      <c r="AB128" s="18"/>
      <c r="AC128" s="18"/>
    </row>
    <row r="129" spans="5:29" x14ac:dyDescent="0.15"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7"/>
      <c r="S129" s="17"/>
      <c r="T129" s="17"/>
      <c r="U129" s="17"/>
      <c r="V129" s="18"/>
      <c r="W129" s="18"/>
      <c r="X129" s="18"/>
      <c r="Y129" s="18"/>
      <c r="Z129" s="18"/>
      <c r="AA129" s="18"/>
      <c r="AB129" s="18"/>
      <c r="AC129" s="18"/>
    </row>
    <row r="130" spans="5:29" x14ac:dyDescent="0.15"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7"/>
      <c r="S130" s="17"/>
      <c r="T130" s="17"/>
      <c r="U130" s="17"/>
      <c r="V130" s="18"/>
      <c r="W130" s="18"/>
      <c r="X130" s="18"/>
      <c r="Y130" s="18"/>
      <c r="Z130" s="18"/>
      <c r="AA130" s="18"/>
      <c r="AB130" s="18"/>
      <c r="AC130" s="18"/>
    </row>
    <row r="131" spans="5:29" x14ac:dyDescent="0.15"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7"/>
      <c r="S131" s="17"/>
      <c r="T131" s="17"/>
      <c r="U131" s="17"/>
      <c r="V131" s="18"/>
      <c r="W131" s="18"/>
      <c r="X131" s="18"/>
      <c r="Y131" s="18"/>
      <c r="Z131" s="18"/>
      <c r="AA131" s="18"/>
      <c r="AB131" s="18"/>
      <c r="AC131" s="18"/>
    </row>
    <row r="132" spans="5:29" x14ac:dyDescent="0.15"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7"/>
      <c r="S132" s="17"/>
      <c r="T132" s="17"/>
      <c r="U132" s="17"/>
      <c r="V132" s="18"/>
      <c r="W132" s="18"/>
      <c r="X132" s="18"/>
      <c r="Y132" s="18"/>
      <c r="Z132" s="18"/>
      <c r="AA132" s="18"/>
      <c r="AB132" s="18"/>
      <c r="AC132" s="18"/>
    </row>
    <row r="133" spans="5:29" x14ac:dyDescent="0.15"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7"/>
      <c r="S133" s="17"/>
      <c r="T133" s="17"/>
      <c r="U133" s="17"/>
      <c r="V133" s="18"/>
      <c r="W133" s="18"/>
      <c r="X133" s="18"/>
      <c r="Y133" s="18"/>
      <c r="Z133" s="18"/>
      <c r="AA133" s="18"/>
      <c r="AB133" s="18"/>
      <c r="AC133" s="18"/>
    </row>
    <row r="134" spans="5:29" x14ac:dyDescent="0.15"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7"/>
      <c r="S134" s="17"/>
      <c r="T134" s="17"/>
      <c r="U134" s="17"/>
      <c r="V134" s="18"/>
      <c r="W134" s="18"/>
      <c r="X134" s="18"/>
      <c r="Y134" s="18"/>
      <c r="Z134" s="18"/>
      <c r="AA134" s="18"/>
      <c r="AB134" s="18"/>
      <c r="AC134" s="18"/>
    </row>
    <row r="135" spans="5:29" x14ac:dyDescent="0.15"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7"/>
      <c r="S135" s="17"/>
      <c r="T135" s="17"/>
      <c r="U135" s="17"/>
      <c r="V135" s="18"/>
      <c r="W135" s="18"/>
      <c r="X135" s="18"/>
      <c r="Y135" s="18"/>
      <c r="Z135" s="18"/>
      <c r="AA135" s="18"/>
      <c r="AB135" s="18"/>
      <c r="AC135" s="18"/>
    </row>
    <row r="136" spans="5:29" x14ac:dyDescent="0.15"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7"/>
      <c r="S136" s="17"/>
      <c r="T136" s="17"/>
      <c r="U136" s="17"/>
      <c r="V136" s="18"/>
      <c r="W136" s="18"/>
      <c r="X136" s="18"/>
      <c r="Y136" s="18"/>
      <c r="Z136" s="18"/>
      <c r="AA136" s="18"/>
      <c r="AB136" s="18"/>
      <c r="AC136" s="18"/>
    </row>
    <row r="137" spans="5:29" x14ac:dyDescent="0.15"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7"/>
      <c r="S137" s="17"/>
      <c r="T137" s="17"/>
      <c r="U137" s="17"/>
      <c r="V137" s="18"/>
      <c r="W137" s="18"/>
      <c r="X137" s="18"/>
      <c r="Y137" s="18"/>
      <c r="Z137" s="18"/>
      <c r="AA137" s="18"/>
      <c r="AB137" s="18"/>
      <c r="AC137" s="18"/>
    </row>
    <row r="138" spans="5:29" x14ac:dyDescent="0.15"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7"/>
      <c r="S138" s="17"/>
      <c r="T138" s="17"/>
      <c r="U138" s="17"/>
      <c r="V138" s="18"/>
      <c r="W138" s="18"/>
      <c r="X138" s="18"/>
      <c r="Y138" s="18"/>
      <c r="Z138" s="18"/>
      <c r="AA138" s="18"/>
      <c r="AB138" s="18"/>
      <c r="AC138" s="18"/>
    </row>
    <row r="139" spans="5:29" x14ac:dyDescent="0.15"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7"/>
      <c r="S139" s="17"/>
      <c r="T139" s="17"/>
      <c r="U139" s="17"/>
      <c r="V139" s="18"/>
      <c r="W139" s="18"/>
      <c r="X139" s="18"/>
      <c r="Y139" s="18"/>
      <c r="Z139" s="18"/>
      <c r="AA139" s="18"/>
      <c r="AB139" s="18"/>
      <c r="AC139" s="18"/>
    </row>
    <row r="140" spans="5:29" x14ac:dyDescent="0.15"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7"/>
      <c r="S140" s="17"/>
      <c r="T140" s="17"/>
      <c r="U140" s="17"/>
      <c r="V140" s="18"/>
      <c r="W140" s="18"/>
      <c r="X140" s="18"/>
      <c r="Y140" s="18"/>
      <c r="Z140" s="18"/>
      <c r="AA140" s="18"/>
      <c r="AB140" s="18"/>
      <c r="AC140" s="18"/>
    </row>
    <row r="141" spans="5:29" x14ac:dyDescent="0.15"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7"/>
      <c r="S141" s="17"/>
      <c r="T141" s="17"/>
      <c r="U141" s="17"/>
      <c r="V141" s="18"/>
      <c r="W141" s="18"/>
      <c r="X141" s="18"/>
      <c r="Y141" s="18"/>
      <c r="Z141" s="18"/>
      <c r="AA141" s="18"/>
      <c r="AB141" s="18"/>
      <c r="AC141" s="18"/>
    </row>
    <row r="142" spans="5:29" x14ac:dyDescent="0.15"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7"/>
      <c r="S142" s="17"/>
      <c r="T142" s="17"/>
      <c r="U142" s="17"/>
      <c r="V142" s="18"/>
      <c r="W142" s="18"/>
      <c r="X142" s="18"/>
      <c r="Y142" s="18"/>
      <c r="Z142" s="18"/>
      <c r="AA142" s="18"/>
      <c r="AB142" s="18"/>
      <c r="AC142" s="18"/>
    </row>
    <row r="143" spans="5:29" x14ac:dyDescent="0.15"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7"/>
      <c r="S143" s="17"/>
      <c r="T143" s="17"/>
      <c r="U143" s="17"/>
      <c r="V143" s="18"/>
      <c r="W143" s="18"/>
      <c r="X143" s="18"/>
      <c r="Y143" s="18"/>
      <c r="Z143" s="18"/>
      <c r="AA143" s="18"/>
      <c r="AB143" s="18"/>
      <c r="AC143" s="18"/>
    </row>
    <row r="144" spans="5:29" x14ac:dyDescent="0.15"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7"/>
      <c r="S144" s="17"/>
      <c r="T144" s="17"/>
      <c r="U144" s="17"/>
      <c r="V144" s="18"/>
      <c r="W144" s="18"/>
      <c r="X144" s="18"/>
      <c r="Y144" s="18"/>
      <c r="Z144" s="18"/>
      <c r="AA144" s="18"/>
      <c r="AB144" s="18"/>
      <c r="AC144" s="18"/>
    </row>
    <row r="145" spans="5:29" x14ac:dyDescent="0.15"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7"/>
      <c r="S145" s="17"/>
      <c r="T145" s="17"/>
      <c r="U145" s="17"/>
      <c r="V145" s="18"/>
      <c r="W145" s="18"/>
      <c r="X145" s="18"/>
      <c r="Y145" s="18"/>
      <c r="Z145" s="18"/>
      <c r="AA145" s="18"/>
      <c r="AB145" s="18"/>
      <c r="AC145" s="18"/>
    </row>
    <row r="146" spans="5:29" x14ac:dyDescent="0.15"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7"/>
      <c r="S146" s="17"/>
      <c r="T146" s="17"/>
      <c r="U146" s="17"/>
      <c r="V146" s="18"/>
      <c r="W146" s="18"/>
      <c r="X146" s="18"/>
      <c r="Y146" s="18"/>
      <c r="Z146" s="18"/>
      <c r="AA146" s="18"/>
      <c r="AB146" s="18"/>
      <c r="AC146" s="18"/>
    </row>
    <row r="147" spans="5:29" x14ac:dyDescent="0.15"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7"/>
      <c r="S147" s="17"/>
      <c r="T147" s="17"/>
      <c r="U147" s="17"/>
      <c r="V147" s="18"/>
      <c r="W147" s="18"/>
      <c r="X147" s="18"/>
      <c r="Y147" s="18"/>
      <c r="Z147" s="18"/>
      <c r="AA147" s="18"/>
      <c r="AB147" s="18"/>
      <c r="AC147" s="18"/>
    </row>
    <row r="148" spans="5:29" x14ac:dyDescent="0.15"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7"/>
      <c r="S148" s="17"/>
      <c r="T148" s="17"/>
      <c r="U148" s="17"/>
      <c r="V148" s="18"/>
      <c r="W148" s="18"/>
      <c r="X148" s="18"/>
      <c r="Y148" s="18"/>
      <c r="Z148" s="18"/>
      <c r="AA148" s="18"/>
      <c r="AB148" s="18"/>
      <c r="AC148" s="18"/>
    </row>
    <row r="149" spans="5:29" x14ac:dyDescent="0.15"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7"/>
      <c r="S149" s="17"/>
      <c r="T149" s="17"/>
      <c r="U149" s="17"/>
      <c r="V149" s="18"/>
      <c r="W149" s="18"/>
      <c r="X149" s="18"/>
      <c r="Y149" s="18"/>
      <c r="Z149" s="18"/>
      <c r="AA149" s="18"/>
      <c r="AB149" s="18"/>
      <c r="AC149" s="18"/>
    </row>
    <row r="150" spans="5:29" x14ac:dyDescent="0.15"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7"/>
      <c r="S150" s="17"/>
      <c r="T150" s="17"/>
      <c r="U150" s="17"/>
      <c r="V150" s="18"/>
      <c r="W150" s="18"/>
      <c r="X150" s="18"/>
      <c r="Y150" s="18"/>
      <c r="Z150" s="18"/>
      <c r="AA150" s="18"/>
      <c r="AB150" s="18"/>
      <c r="AC150" s="18"/>
    </row>
    <row r="151" spans="5:29" x14ac:dyDescent="0.15"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7"/>
      <c r="S151" s="17"/>
      <c r="T151" s="17"/>
      <c r="U151" s="17"/>
      <c r="V151" s="18"/>
      <c r="W151" s="18"/>
      <c r="X151" s="18"/>
      <c r="Y151" s="18"/>
      <c r="Z151" s="18"/>
      <c r="AA151" s="18"/>
      <c r="AB151" s="18"/>
      <c r="AC151" s="18"/>
    </row>
    <row r="152" spans="5:29" x14ac:dyDescent="0.15"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7"/>
      <c r="S152" s="17"/>
      <c r="T152" s="17"/>
      <c r="U152" s="17"/>
      <c r="V152" s="18"/>
      <c r="W152" s="18"/>
      <c r="X152" s="18"/>
      <c r="Y152" s="18"/>
      <c r="Z152" s="18"/>
      <c r="AA152" s="18"/>
      <c r="AB152" s="18"/>
      <c r="AC152" s="18"/>
    </row>
    <row r="153" spans="5:29" x14ac:dyDescent="0.15"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7"/>
      <c r="S153" s="17"/>
      <c r="T153" s="17"/>
      <c r="U153" s="17"/>
      <c r="V153" s="18"/>
      <c r="W153" s="18"/>
      <c r="X153" s="18"/>
      <c r="Y153" s="18"/>
      <c r="Z153" s="18"/>
      <c r="AA153" s="18"/>
      <c r="AB153" s="18"/>
      <c r="AC153" s="18"/>
    </row>
    <row r="154" spans="5:29" x14ac:dyDescent="0.15"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7"/>
      <c r="S154" s="17"/>
      <c r="T154" s="17"/>
      <c r="U154" s="17"/>
      <c r="V154" s="18"/>
      <c r="W154" s="18"/>
      <c r="X154" s="18"/>
      <c r="Y154" s="18"/>
      <c r="Z154" s="18"/>
      <c r="AA154" s="18"/>
      <c r="AB154" s="18"/>
      <c r="AC154" s="18"/>
    </row>
    <row r="155" spans="5:29" x14ac:dyDescent="0.15"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7"/>
      <c r="S155" s="17"/>
      <c r="T155" s="17"/>
      <c r="U155" s="17"/>
      <c r="V155" s="18"/>
      <c r="W155" s="18"/>
      <c r="X155" s="18"/>
      <c r="Y155" s="18"/>
      <c r="Z155" s="18"/>
      <c r="AA155" s="18"/>
      <c r="AB155" s="18"/>
      <c r="AC155" s="18"/>
    </row>
    <row r="156" spans="5:29" x14ac:dyDescent="0.15"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7"/>
      <c r="S156" s="17"/>
      <c r="T156" s="17"/>
      <c r="U156" s="17"/>
      <c r="V156" s="18"/>
      <c r="W156" s="18"/>
      <c r="X156" s="18"/>
      <c r="Y156" s="18"/>
      <c r="Z156" s="18"/>
      <c r="AA156" s="18"/>
      <c r="AB156" s="18"/>
      <c r="AC156" s="18"/>
    </row>
    <row r="157" spans="5:29" x14ac:dyDescent="0.15"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7"/>
      <c r="S157" s="17"/>
      <c r="T157" s="17"/>
      <c r="U157" s="17"/>
      <c r="V157" s="18"/>
      <c r="W157" s="18"/>
      <c r="X157" s="18"/>
      <c r="Y157" s="18"/>
      <c r="Z157" s="18"/>
      <c r="AA157" s="18"/>
      <c r="AB157" s="18"/>
      <c r="AC157" s="18"/>
    </row>
    <row r="158" spans="5:29" x14ac:dyDescent="0.15"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7"/>
      <c r="S158" s="17"/>
      <c r="T158" s="17"/>
      <c r="U158" s="17"/>
      <c r="V158" s="18"/>
      <c r="W158" s="18"/>
      <c r="X158" s="18"/>
      <c r="Y158" s="18"/>
      <c r="Z158" s="18"/>
      <c r="AA158" s="18"/>
      <c r="AB158" s="18"/>
      <c r="AC158" s="18"/>
    </row>
    <row r="159" spans="5:29" x14ac:dyDescent="0.15"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7"/>
      <c r="S159" s="17"/>
      <c r="T159" s="17"/>
      <c r="U159" s="17"/>
      <c r="V159" s="18"/>
      <c r="W159" s="18"/>
      <c r="X159" s="18"/>
      <c r="Y159" s="18"/>
      <c r="Z159" s="18"/>
      <c r="AA159" s="18"/>
      <c r="AB159" s="18"/>
      <c r="AC159" s="18"/>
    </row>
    <row r="160" spans="5:29" x14ac:dyDescent="0.15"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7"/>
      <c r="S160" s="17"/>
      <c r="T160" s="17"/>
      <c r="U160" s="17"/>
      <c r="V160" s="18"/>
      <c r="W160" s="18"/>
      <c r="X160" s="18"/>
      <c r="Y160" s="18"/>
      <c r="Z160" s="18"/>
      <c r="AA160" s="18"/>
      <c r="AB160" s="18"/>
      <c r="AC160" s="18"/>
    </row>
    <row r="161" spans="5:29" x14ac:dyDescent="0.15"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7"/>
      <c r="S161" s="17"/>
      <c r="T161" s="17"/>
      <c r="U161" s="17"/>
      <c r="V161" s="18"/>
      <c r="W161" s="18"/>
      <c r="X161" s="18"/>
      <c r="Y161" s="18"/>
      <c r="Z161" s="18"/>
      <c r="AA161" s="18"/>
      <c r="AB161" s="18"/>
      <c r="AC161" s="18"/>
    </row>
    <row r="162" spans="5:29" x14ac:dyDescent="0.15"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7"/>
      <c r="S162" s="17"/>
      <c r="T162" s="17"/>
      <c r="U162" s="17"/>
      <c r="V162" s="18"/>
      <c r="W162" s="18"/>
      <c r="X162" s="18"/>
      <c r="Y162" s="18"/>
      <c r="Z162" s="18"/>
      <c r="AA162" s="18"/>
      <c r="AB162" s="18"/>
      <c r="AC162" s="18"/>
    </row>
    <row r="163" spans="5:29" x14ac:dyDescent="0.15"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7"/>
      <c r="S163" s="17"/>
      <c r="T163" s="17"/>
      <c r="U163" s="17"/>
      <c r="V163" s="18"/>
      <c r="W163" s="18"/>
      <c r="X163" s="18"/>
      <c r="Y163" s="18"/>
      <c r="Z163" s="18"/>
      <c r="AA163" s="18"/>
      <c r="AB163" s="18"/>
      <c r="AC163" s="18"/>
    </row>
    <row r="164" spans="5:29" x14ac:dyDescent="0.15"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7"/>
      <c r="S164" s="17"/>
      <c r="T164" s="17"/>
      <c r="U164" s="17"/>
      <c r="V164" s="18"/>
      <c r="W164" s="18"/>
      <c r="X164" s="18"/>
      <c r="Y164" s="18"/>
      <c r="Z164" s="18"/>
      <c r="AA164" s="18"/>
      <c r="AB164" s="18"/>
      <c r="AC164" s="18"/>
    </row>
    <row r="165" spans="5:29" x14ac:dyDescent="0.15"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7"/>
      <c r="S165" s="17"/>
      <c r="T165" s="17"/>
      <c r="U165" s="17"/>
      <c r="V165" s="18"/>
      <c r="W165" s="18"/>
      <c r="X165" s="18"/>
      <c r="Y165" s="18"/>
      <c r="Z165" s="18"/>
      <c r="AA165" s="18"/>
      <c r="AB165" s="18"/>
      <c r="AC165" s="18"/>
    </row>
    <row r="166" spans="5:29" x14ac:dyDescent="0.15"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7"/>
      <c r="S166" s="17"/>
      <c r="T166" s="17"/>
      <c r="U166" s="17"/>
      <c r="V166" s="18"/>
      <c r="W166" s="18"/>
      <c r="X166" s="18"/>
      <c r="Y166" s="18"/>
      <c r="Z166" s="18"/>
      <c r="AA166" s="18"/>
      <c r="AB166" s="18"/>
      <c r="AC166" s="18"/>
    </row>
    <row r="167" spans="5:29" x14ac:dyDescent="0.15"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7"/>
      <c r="S167" s="17"/>
      <c r="T167" s="17"/>
      <c r="U167" s="17"/>
      <c r="V167" s="18"/>
      <c r="W167" s="18"/>
      <c r="X167" s="18"/>
      <c r="Y167" s="18"/>
      <c r="Z167" s="18"/>
      <c r="AA167" s="18"/>
      <c r="AB167" s="18"/>
      <c r="AC167" s="18"/>
    </row>
    <row r="168" spans="5:29" x14ac:dyDescent="0.15"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7"/>
      <c r="S168" s="17"/>
      <c r="T168" s="17"/>
      <c r="U168" s="17"/>
      <c r="V168" s="18"/>
      <c r="W168" s="18"/>
      <c r="X168" s="18"/>
      <c r="Y168" s="18"/>
      <c r="Z168" s="18"/>
      <c r="AA168" s="18"/>
      <c r="AB168" s="18"/>
      <c r="AC168" s="18"/>
    </row>
    <row r="169" spans="5:29" x14ac:dyDescent="0.15"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7"/>
      <c r="S169" s="17"/>
      <c r="T169" s="17"/>
      <c r="U169" s="17"/>
      <c r="V169" s="18"/>
      <c r="W169" s="18"/>
      <c r="X169" s="18"/>
      <c r="Y169" s="18"/>
      <c r="Z169" s="18"/>
      <c r="AA169" s="18"/>
      <c r="AB169" s="18"/>
      <c r="AC169" s="18"/>
    </row>
    <row r="170" spans="5:29" x14ac:dyDescent="0.15"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7"/>
      <c r="S170" s="17"/>
      <c r="T170" s="17"/>
      <c r="U170" s="17"/>
      <c r="V170" s="18"/>
      <c r="W170" s="18"/>
      <c r="X170" s="18"/>
      <c r="Y170" s="18"/>
      <c r="Z170" s="18"/>
      <c r="AA170" s="18"/>
      <c r="AB170" s="18"/>
      <c r="AC170" s="18"/>
    </row>
    <row r="171" spans="5:29" x14ac:dyDescent="0.15"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7"/>
      <c r="S171" s="17"/>
      <c r="T171" s="17"/>
      <c r="U171" s="17"/>
      <c r="V171" s="18"/>
      <c r="W171" s="18"/>
      <c r="X171" s="18"/>
      <c r="Y171" s="18"/>
      <c r="Z171" s="18"/>
      <c r="AA171" s="18"/>
      <c r="AB171" s="18"/>
      <c r="AC171" s="18"/>
    </row>
    <row r="172" spans="5:29" x14ac:dyDescent="0.15"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7"/>
      <c r="S172" s="17"/>
      <c r="T172" s="17"/>
      <c r="U172" s="17"/>
      <c r="V172" s="18"/>
      <c r="W172" s="18"/>
      <c r="X172" s="18"/>
      <c r="Y172" s="18"/>
      <c r="Z172" s="18"/>
      <c r="AA172" s="18"/>
      <c r="AB172" s="18"/>
      <c r="AC172" s="18"/>
    </row>
    <row r="173" spans="5:29" x14ac:dyDescent="0.15"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7"/>
      <c r="S173" s="17"/>
      <c r="T173" s="17"/>
      <c r="U173" s="17"/>
      <c r="V173" s="18"/>
      <c r="W173" s="18"/>
      <c r="X173" s="18"/>
      <c r="Y173" s="18"/>
      <c r="Z173" s="18"/>
      <c r="AA173" s="18"/>
      <c r="AB173" s="18"/>
      <c r="AC173" s="18"/>
    </row>
    <row r="174" spans="5:29" x14ac:dyDescent="0.15"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7"/>
      <c r="S174" s="17"/>
      <c r="T174" s="17"/>
      <c r="U174" s="17"/>
      <c r="V174" s="18"/>
      <c r="W174" s="18"/>
      <c r="X174" s="18"/>
      <c r="Y174" s="18"/>
      <c r="Z174" s="18"/>
      <c r="AA174" s="18"/>
      <c r="AB174" s="18"/>
      <c r="AC174" s="18"/>
    </row>
    <row r="175" spans="5:29" x14ac:dyDescent="0.15"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7"/>
      <c r="S175" s="17"/>
      <c r="T175" s="17"/>
      <c r="U175" s="17"/>
      <c r="V175" s="18"/>
      <c r="W175" s="18"/>
      <c r="X175" s="18"/>
      <c r="Y175" s="18"/>
      <c r="Z175" s="18"/>
      <c r="AA175" s="18"/>
      <c r="AB175" s="18"/>
      <c r="AC175" s="18"/>
    </row>
    <row r="176" spans="5:29" x14ac:dyDescent="0.15"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7"/>
      <c r="S176" s="17"/>
      <c r="T176" s="17"/>
      <c r="U176" s="17"/>
      <c r="V176" s="18"/>
      <c r="W176" s="18"/>
      <c r="X176" s="18"/>
      <c r="Y176" s="18"/>
      <c r="Z176" s="18"/>
      <c r="AA176" s="18"/>
      <c r="AB176" s="18"/>
      <c r="AC176" s="18"/>
    </row>
    <row r="177" spans="5:29" x14ac:dyDescent="0.15"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7"/>
      <c r="S177" s="17"/>
      <c r="T177" s="17"/>
      <c r="U177" s="17"/>
      <c r="V177" s="18"/>
      <c r="W177" s="18"/>
      <c r="X177" s="18"/>
      <c r="Y177" s="18"/>
      <c r="Z177" s="18"/>
      <c r="AA177" s="18"/>
      <c r="AB177" s="18"/>
      <c r="AC177" s="18"/>
    </row>
    <row r="178" spans="5:29" x14ac:dyDescent="0.15"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7"/>
      <c r="S178" s="17"/>
      <c r="T178" s="17"/>
      <c r="U178" s="17"/>
      <c r="V178" s="18"/>
      <c r="W178" s="18"/>
      <c r="X178" s="18"/>
      <c r="Y178" s="18"/>
      <c r="Z178" s="18"/>
      <c r="AA178" s="18"/>
      <c r="AB178" s="18"/>
      <c r="AC178" s="18"/>
    </row>
    <row r="179" spans="5:29" x14ac:dyDescent="0.15"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7"/>
      <c r="S179" s="17"/>
      <c r="T179" s="17"/>
      <c r="U179" s="17"/>
      <c r="V179" s="18"/>
      <c r="W179" s="18"/>
      <c r="X179" s="18"/>
      <c r="Y179" s="18"/>
      <c r="Z179" s="18"/>
      <c r="AA179" s="18"/>
      <c r="AB179" s="18"/>
      <c r="AC179" s="18"/>
    </row>
    <row r="180" spans="5:29" x14ac:dyDescent="0.15"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7"/>
      <c r="S180" s="17"/>
      <c r="T180" s="17"/>
      <c r="U180" s="17"/>
      <c r="V180" s="18"/>
      <c r="W180" s="18"/>
      <c r="X180" s="18"/>
      <c r="Y180" s="18"/>
      <c r="Z180" s="18"/>
      <c r="AA180" s="18"/>
      <c r="AB180" s="18"/>
      <c r="AC180" s="18"/>
    </row>
    <row r="181" spans="5:29" x14ac:dyDescent="0.15"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7"/>
      <c r="S181" s="17"/>
      <c r="T181" s="17"/>
      <c r="U181" s="17"/>
      <c r="V181" s="18"/>
      <c r="W181" s="18"/>
      <c r="X181" s="18"/>
      <c r="Y181" s="18"/>
      <c r="Z181" s="18"/>
      <c r="AA181" s="18"/>
      <c r="AB181" s="18"/>
      <c r="AC181" s="18"/>
    </row>
    <row r="182" spans="5:29" x14ac:dyDescent="0.15"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7"/>
      <c r="S182" s="17"/>
      <c r="T182" s="17"/>
      <c r="U182" s="17"/>
      <c r="V182" s="18"/>
      <c r="W182" s="18"/>
      <c r="X182" s="18"/>
      <c r="Y182" s="18"/>
      <c r="Z182" s="18"/>
      <c r="AA182" s="18"/>
      <c r="AB182" s="18"/>
      <c r="AC182" s="18"/>
    </row>
    <row r="183" spans="5:29" x14ac:dyDescent="0.15"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7"/>
      <c r="S183" s="17"/>
      <c r="T183" s="17"/>
      <c r="U183" s="17"/>
      <c r="V183" s="18"/>
      <c r="W183" s="18"/>
      <c r="X183" s="18"/>
      <c r="Y183" s="18"/>
      <c r="Z183" s="18"/>
      <c r="AA183" s="18"/>
      <c r="AB183" s="18"/>
      <c r="AC183" s="18"/>
    </row>
    <row r="184" spans="5:29" x14ac:dyDescent="0.15"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7"/>
      <c r="S184" s="17"/>
      <c r="T184" s="17"/>
      <c r="U184" s="17"/>
      <c r="V184" s="18"/>
      <c r="W184" s="18"/>
      <c r="X184" s="18"/>
      <c r="Y184" s="18"/>
      <c r="Z184" s="18"/>
      <c r="AA184" s="18"/>
      <c r="AB184" s="18"/>
      <c r="AC184" s="18"/>
    </row>
    <row r="185" spans="5:29" x14ac:dyDescent="0.15"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7"/>
      <c r="S185" s="17"/>
      <c r="T185" s="17"/>
      <c r="U185" s="17"/>
      <c r="V185" s="18"/>
      <c r="W185" s="18"/>
      <c r="X185" s="18"/>
      <c r="Y185" s="18"/>
      <c r="Z185" s="18"/>
      <c r="AA185" s="18"/>
      <c r="AB185" s="18"/>
      <c r="AC185" s="18"/>
    </row>
    <row r="186" spans="5:29" x14ac:dyDescent="0.15"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7"/>
      <c r="S186" s="17"/>
      <c r="T186" s="17"/>
      <c r="U186" s="17"/>
      <c r="V186" s="18"/>
      <c r="W186" s="18"/>
      <c r="X186" s="18"/>
      <c r="Y186" s="18"/>
      <c r="Z186" s="18"/>
      <c r="AA186" s="18"/>
      <c r="AB186" s="18"/>
      <c r="AC186" s="18"/>
    </row>
    <row r="187" spans="5:29" x14ac:dyDescent="0.15"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7"/>
      <c r="S187" s="17"/>
      <c r="T187" s="17"/>
      <c r="U187" s="17"/>
      <c r="V187" s="18"/>
      <c r="W187" s="18"/>
      <c r="X187" s="18"/>
      <c r="Y187" s="18"/>
      <c r="Z187" s="18"/>
      <c r="AA187" s="18"/>
      <c r="AB187" s="18"/>
      <c r="AC187" s="18"/>
    </row>
    <row r="188" spans="5:29" x14ac:dyDescent="0.15"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7"/>
      <c r="S188" s="17"/>
      <c r="T188" s="17"/>
      <c r="U188" s="17"/>
      <c r="V188" s="18"/>
      <c r="W188" s="18"/>
      <c r="X188" s="18"/>
      <c r="Y188" s="18"/>
      <c r="Z188" s="18"/>
      <c r="AA188" s="18"/>
      <c r="AB188" s="18"/>
      <c r="AC188" s="18"/>
    </row>
    <row r="189" spans="5:29" x14ac:dyDescent="0.15"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7"/>
      <c r="S189" s="17"/>
      <c r="T189" s="17"/>
      <c r="U189" s="17"/>
      <c r="V189" s="18"/>
      <c r="W189" s="18"/>
      <c r="X189" s="18"/>
      <c r="Y189" s="18"/>
      <c r="Z189" s="18"/>
      <c r="AA189" s="18"/>
      <c r="AB189" s="18"/>
      <c r="AC189" s="18"/>
    </row>
    <row r="190" spans="5:29" x14ac:dyDescent="0.15"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7"/>
      <c r="S190" s="17"/>
      <c r="T190" s="17"/>
      <c r="U190" s="17"/>
      <c r="V190" s="18"/>
      <c r="W190" s="18"/>
      <c r="X190" s="18"/>
      <c r="Y190" s="18"/>
      <c r="Z190" s="18"/>
      <c r="AA190" s="18"/>
      <c r="AB190" s="18"/>
      <c r="AC190" s="18"/>
    </row>
    <row r="191" spans="5:29" x14ac:dyDescent="0.15"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7"/>
      <c r="S191" s="17"/>
      <c r="T191" s="17"/>
      <c r="U191" s="17"/>
      <c r="V191" s="18"/>
      <c r="W191" s="18"/>
      <c r="X191" s="18"/>
      <c r="Y191" s="18"/>
      <c r="Z191" s="18"/>
      <c r="AA191" s="18"/>
      <c r="AB191" s="18"/>
      <c r="AC191" s="18"/>
    </row>
    <row r="192" spans="5:29" x14ac:dyDescent="0.15"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7"/>
      <c r="S192" s="17"/>
      <c r="T192" s="17"/>
      <c r="U192" s="17"/>
      <c r="V192" s="18"/>
      <c r="W192" s="18"/>
      <c r="X192" s="18"/>
      <c r="Y192" s="18"/>
      <c r="Z192" s="18"/>
      <c r="AA192" s="18"/>
      <c r="AB192" s="18"/>
      <c r="AC192" s="18"/>
    </row>
    <row r="193" spans="5:29" x14ac:dyDescent="0.15"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7"/>
      <c r="S193" s="17"/>
      <c r="T193" s="17"/>
      <c r="U193" s="17"/>
      <c r="V193" s="18"/>
      <c r="W193" s="18"/>
      <c r="X193" s="18"/>
      <c r="Y193" s="18"/>
      <c r="Z193" s="18"/>
      <c r="AA193" s="18"/>
      <c r="AB193" s="18"/>
      <c r="AC193" s="18"/>
    </row>
    <row r="194" spans="5:29" x14ac:dyDescent="0.15"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7"/>
      <c r="S194" s="17"/>
      <c r="T194" s="17"/>
      <c r="U194" s="17"/>
      <c r="V194" s="18"/>
      <c r="W194" s="18"/>
      <c r="X194" s="18"/>
      <c r="Y194" s="18"/>
      <c r="Z194" s="18"/>
      <c r="AA194" s="18"/>
      <c r="AB194" s="18"/>
      <c r="AC194" s="18"/>
    </row>
    <row r="195" spans="5:29" x14ac:dyDescent="0.15"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7"/>
      <c r="S195" s="17"/>
      <c r="T195" s="17"/>
      <c r="U195" s="17"/>
      <c r="V195" s="18"/>
      <c r="W195" s="18"/>
      <c r="X195" s="18"/>
      <c r="Y195" s="18"/>
      <c r="Z195" s="18"/>
      <c r="AA195" s="18"/>
      <c r="AB195" s="18"/>
      <c r="AC195" s="18"/>
    </row>
    <row r="196" spans="5:29" x14ac:dyDescent="0.15"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7"/>
      <c r="S196" s="17"/>
      <c r="T196" s="17"/>
      <c r="U196" s="17"/>
      <c r="V196" s="18"/>
      <c r="W196" s="18"/>
      <c r="X196" s="18"/>
      <c r="Y196" s="18"/>
      <c r="Z196" s="18"/>
      <c r="AA196" s="18"/>
      <c r="AB196" s="18"/>
      <c r="AC196" s="18"/>
    </row>
    <row r="197" spans="5:29" x14ac:dyDescent="0.15"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7"/>
      <c r="S197" s="17"/>
      <c r="T197" s="17"/>
      <c r="U197" s="17"/>
      <c r="V197" s="18"/>
      <c r="W197" s="18"/>
      <c r="X197" s="18"/>
      <c r="Y197" s="18"/>
      <c r="Z197" s="18"/>
      <c r="AA197" s="18"/>
      <c r="AB197" s="18"/>
      <c r="AC197" s="18"/>
    </row>
    <row r="198" spans="5:29" x14ac:dyDescent="0.15"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7"/>
      <c r="S198" s="17"/>
      <c r="T198" s="17"/>
      <c r="U198" s="17"/>
      <c r="V198" s="18"/>
      <c r="W198" s="18"/>
      <c r="X198" s="18"/>
      <c r="Y198" s="18"/>
      <c r="Z198" s="18"/>
      <c r="AA198" s="18"/>
      <c r="AB198" s="18"/>
      <c r="AC198" s="18"/>
    </row>
    <row r="199" spans="5:29" x14ac:dyDescent="0.15"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7"/>
      <c r="S199" s="17"/>
      <c r="T199" s="17"/>
      <c r="U199" s="17"/>
      <c r="V199" s="18"/>
      <c r="W199" s="18"/>
      <c r="X199" s="18"/>
      <c r="Y199" s="18"/>
      <c r="Z199" s="18"/>
      <c r="AA199" s="18"/>
      <c r="AB199" s="18"/>
      <c r="AC199" s="18"/>
    </row>
    <row r="200" spans="5:29" x14ac:dyDescent="0.15"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7"/>
      <c r="S200" s="17"/>
      <c r="T200" s="17"/>
      <c r="U200" s="17"/>
      <c r="V200" s="18"/>
      <c r="W200" s="18"/>
      <c r="X200" s="18"/>
      <c r="Y200" s="18"/>
      <c r="Z200" s="18"/>
      <c r="AA200" s="18"/>
      <c r="AB200" s="18"/>
      <c r="AC200" s="18"/>
    </row>
    <row r="201" spans="5:29" x14ac:dyDescent="0.15"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7"/>
      <c r="S201" s="17"/>
      <c r="T201" s="17"/>
      <c r="U201" s="17"/>
      <c r="V201" s="18"/>
      <c r="W201" s="18"/>
      <c r="X201" s="18"/>
      <c r="Y201" s="18"/>
      <c r="Z201" s="18"/>
      <c r="AA201" s="18"/>
      <c r="AB201" s="18"/>
      <c r="AC201" s="18"/>
    </row>
    <row r="202" spans="5:29" x14ac:dyDescent="0.15"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7"/>
      <c r="S202" s="17"/>
      <c r="T202" s="17"/>
      <c r="U202" s="17"/>
      <c r="V202" s="18"/>
      <c r="W202" s="18"/>
      <c r="X202" s="18"/>
      <c r="Y202" s="18"/>
      <c r="Z202" s="18"/>
      <c r="AA202" s="18"/>
      <c r="AB202" s="18"/>
      <c r="AC202" s="18"/>
    </row>
    <row r="203" spans="5:29" x14ac:dyDescent="0.15"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7"/>
      <c r="S203" s="17"/>
      <c r="T203" s="17"/>
      <c r="U203" s="17"/>
      <c r="V203" s="18"/>
      <c r="W203" s="18"/>
      <c r="X203" s="18"/>
      <c r="Y203" s="18"/>
      <c r="Z203" s="18"/>
      <c r="AA203" s="18"/>
      <c r="AB203" s="18"/>
      <c r="AC203" s="18"/>
    </row>
    <row r="204" spans="5:29" x14ac:dyDescent="0.15"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7"/>
      <c r="S204" s="17"/>
      <c r="T204" s="17"/>
      <c r="U204" s="17"/>
      <c r="V204" s="18"/>
      <c r="W204" s="18"/>
      <c r="X204" s="18"/>
      <c r="Y204" s="18"/>
      <c r="Z204" s="18"/>
      <c r="AA204" s="18"/>
      <c r="AB204" s="18"/>
      <c r="AC204" s="18"/>
    </row>
    <row r="205" spans="5:29" x14ac:dyDescent="0.15"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7"/>
      <c r="S205" s="17"/>
      <c r="T205" s="17"/>
      <c r="U205" s="17"/>
      <c r="V205" s="18"/>
      <c r="W205" s="18"/>
      <c r="X205" s="18"/>
      <c r="Y205" s="18"/>
      <c r="Z205" s="18"/>
      <c r="AA205" s="18"/>
      <c r="AB205" s="18"/>
      <c r="AC205" s="18"/>
    </row>
    <row r="206" spans="5:29" x14ac:dyDescent="0.15"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7"/>
      <c r="S206" s="17"/>
      <c r="T206" s="17"/>
      <c r="U206" s="17"/>
      <c r="V206" s="18"/>
      <c r="W206" s="18"/>
      <c r="X206" s="18"/>
      <c r="Y206" s="18"/>
      <c r="Z206" s="18"/>
      <c r="AA206" s="18"/>
      <c r="AB206" s="18"/>
      <c r="AC206" s="18"/>
    </row>
    <row r="207" spans="5:29" x14ac:dyDescent="0.15"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7"/>
      <c r="S207" s="17"/>
      <c r="T207" s="17"/>
      <c r="U207" s="17"/>
      <c r="V207" s="18"/>
      <c r="W207" s="18"/>
      <c r="X207" s="18"/>
      <c r="Y207" s="18"/>
      <c r="Z207" s="18"/>
      <c r="AA207" s="18"/>
      <c r="AB207" s="18"/>
      <c r="AC207" s="18"/>
    </row>
    <row r="208" spans="5:29" x14ac:dyDescent="0.15"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7"/>
      <c r="S208" s="17"/>
      <c r="T208" s="17"/>
      <c r="U208" s="17"/>
      <c r="V208" s="18"/>
      <c r="W208" s="18"/>
      <c r="X208" s="18"/>
      <c r="Y208" s="18"/>
      <c r="Z208" s="18"/>
      <c r="AA208" s="18"/>
      <c r="AB208" s="18"/>
      <c r="AC208" s="18"/>
    </row>
    <row r="209" spans="5:29" x14ac:dyDescent="0.15"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7"/>
      <c r="S209" s="17"/>
      <c r="T209" s="17"/>
      <c r="U209" s="17"/>
      <c r="V209" s="18"/>
      <c r="W209" s="18"/>
      <c r="X209" s="18"/>
      <c r="Y209" s="18"/>
      <c r="Z209" s="18"/>
      <c r="AA209" s="18"/>
      <c r="AB209" s="18"/>
      <c r="AC209" s="18"/>
    </row>
    <row r="210" spans="5:29" x14ac:dyDescent="0.15"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7"/>
      <c r="S210" s="17"/>
      <c r="T210" s="17"/>
      <c r="U210" s="17"/>
      <c r="V210" s="18"/>
      <c r="W210" s="18"/>
      <c r="X210" s="18"/>
      <c r="Y210" s="18"/>
      <c r="Z210" s="18"/>
      <c r="AA210" s="18"/>
      <c r="AB210" s="18"/>
      <c r="AC210" s="18"/>
    </row>
    <row r="211" spans="5:29" x14ac:dyDescent="0.15"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7"/>
      <c r="S211" s="17"/>
      <c r="T211" s="17"/>
      <c r="U211" s="17"/>
      <c r="V211" s="18"/>
      <c r="W211" s="18"/>
      <c r="X211" s="18"/>
      <c r="Y211" s="18"/>
      <c r="Z211" s="18"/>
      <c r="AA211" s="18"/>
      <c r="AB211" s="18"/>
      <c r="AC211" s="18"/>
    </row>
    <row r="212" spans="5:29" x14ac:dyDescent="0.15"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7"/>
      <c r="S212" s="17"/>
      <c r="T212" s="17"/>
      <c r="U212" s="17"/>
      <c r="V212" s="18"/>
      <c r="W212" s="18"/>
      <c r="X212" s="18"/>
      <c r="Y212" s="18"/>
      <c r="Z212" s="18"/>
      <c r="AA212" s="18"/>
      <c r="AB212" s="18"/>
      <c r="AC212" s="18"/>
    </row>
    <row r="213" spans="5:29" x14ac:dyDescent="0.15"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7"/>
      <c r="S213" s="17"/>
      <c r="T213" s="17"/>
      <c r="U213" s="17"/>
      <c r="V213" s="18"/>
      <c r="W213" s="18"/>
      <c r="X213" s="18"/>
      <c r="Y213" s="18"/>
      <c r="Z213" s="18"/>
      <c r="AA213" s="18"/>
      <c r="AB213" s="18"/>
      <c r="AC213" s="18"/>
    </row>
  </sheetData>
  <mergeCells count="38">
    <mergeCell ref="R57:R58"/>
    <mergeCell ref="R60:R61"/>
    <mergeCell ref="S60:S61"/>
    <mergeCell ref="L3:L4"/>
    <mergeCell ref="R24:R25"/>
    <mergeCell ref="M3:M4"/>
    <mergeCell ref="R5:T5"/>
    <mergeCell ref="A24:A25"/>
    <mergeCell ref="S3:S4"/>
    <mergeCell ref="T3:T4"/>
    <mergeCell ref="A5:C5"/>
    <mergeCell ref="AA3:AA4"/>
    <mergeCell ref="X3:X4"/>
    <mergeCell ref="Z3:Z4"/>
    <mergeCell ref="N3:N4"/>
    <mergeCell ref="R3:R4"/>
    <mergeCell ref="U3:U4"/>
    <mergeCell ref="V3:V4"/>
    <mergeCell ref="I3:I4"/>
    <mergeCell ref="J3:J4"/>
    <mergeCell ref="O3:O4"/>
    <mergeCell ref="P3:Q3"/>
    <mergeCell ref="AB3:AB4"/>
    <mergeCell ref="AC3:AD3"/>
    <mergeCell ref="W3:W4"/>
    <mergeCell ref="A6:A7"/>
    <mergeCell ref="A1:AD1"/>
    <mergeCell ref="AA2:AD2"/>
    <mergeCell ref="A3:A4"/>
    <mergeCell ref="B3:B4"/>
    <mergeCell ref="C3:C4"/>
    <mergeCell ref="D3:D4"/>
    <mergeCell ref="E3:E4"/>
    <mergeCell ref="F3:F4"/>
    <mergeCell ref="G3:G4"/>
    <mergeCell ref="H3:H4"/>
    <mergeCell ref="Y3:Y4"/>
    <mergeCell ref="K3:K4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6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F443B-3BE2-4BB8-8745-9212A2E08E98}">
  <sheetPr>
    <pageSetUpPr fitToPage="1"/>
  </sheetPr>
  <dimension ref="A1:AA68"/>
  <sheetViews>
    <sheetView zoomScaleNormal="100" workbookViewId="0">
      <selection activeCell="AA10" sqref="AA10"/>
    </sheetView>
  </sheetViews>
  <sheetFormatPr defaultRowHeight="13.5" x14ac:dyDescent="0.3"/>
  <cols>
    <col min="1" max="1" width="3.75" style="1" customWidth="1"/>
    <col min="2" max="2" width="4.125" style="1" customWidth="1"/>
    <col min="3" max="3" width="27.625" style="1" bestFit="1" customWidth="1"/>
    <col min="4" max="4" width="12.375" style="1" hidden="1" customWidth="1"/>
    <col min="5" max="7" width="12.375" style="24" hidden="1" customWidth="1"/>
    <col min="8" max="8" width="0.125" style="24" hidden="1" customWidth="1"/>
    <col min="9" max="12" width="11.875" style="24" hidden="1" customWidth="1"/>
    <col min="13" max="13" width="0.125" style="24" hidden="1" customWidth="1"/>
    <col min="14" max="14" width="9" style="24" hidden="1" customWidth="1"/>
    <col min="15" max="16" width="10.25" style="24" hidden="1" customWidth="1"/>
    <col min="17" max="17" width="0.25" style="24" hidden="1" customWidth="1"/>
    <col min="18" max="18" width="10.25" style="24" hidden="1" customWidth="1"/>
    <col min="19" max="19" width="12" style="24" customWidth="1"/>
    <col min="20" max="20" width="10.625" style="24" customWidth="1"/>
    <col min="21" max="21" width="12.5" style="24" bestFit="1" customWidth="1"/>
    <col min="22" max="22" width="11.25" style="24" customWidth="1"/>
    <col min="23" max="23" width="46" style="1" bestFit="1" customWidth="1"/>
    <col min="24" max="24" width="14.25" style="2" customWidth="1"/>
    <col min="25" max="25" width="16.625" style="2" customWidth="1"/>
    <col min="26" max="26" width="9" style="1"/>
    <col min="27" max="27" width="15.875" style="1" bestFit="1" customWidth="1"/>
    <col min="28" max="16384" width="9" style="1"/>
  </cols>
  <sheetData>
    <row r="1" spans="1:27" ht="44.25" customHeight="1" x14ac:dyDescent="0.55000000000000004">
      <c r="A1" s="268" t="s">
        <v>452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  <c r="W1" s="268"/>
      <c r="X1" s="268"/>
      <c r="Y1" s="268"/>
    </row>
    <row r="2" spans="1:27" s="23" customFormat="1" ht="25.5" customHeight="1" thickBot="1" x14ac:dyDescent="0.35">
      <c r="A2" s="28" t="s">
        <v>69</v>
      </c>
      <c r="B2" s="3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Y2" s="42" t="s">
        <v>70</v>
      </c>
    </row>
    <row r="3" spans="1:27" ht="30" customHeight="1" thickBot="1" x14ac:dyDescent="0.35">
      <c r="A3" s="286" t="s">
        <v>7</v>
      </c>
      <c r="B3" s="279" t="s">
        <v>8</v>
      </c>
      <c r="C3" s="287" t="s">
        <v>9</v>
      </c>
      <c r="D3" s="288" t="s">
        <v>71</v>
      </c>
      <c r="E3" s="201" t="s">
        <v>72</v>
      </c>
      <c r="F3" s="201" t="s">
        <v>10</v>
      </c>
      <c r="G3" s="201" t="s">
        <v>73</v>
      </c>
      <c r="H3" s="201" t="s">
        <v>74</v>
      </c>
      <c r="I3" s="201" t="s">
        <v>75</v>
      </c>
      <c r="J3" s="201" t="s">
        <v>11</v>
      </c>
      <c r="K3" s="201" t="s">
        <v>10</v>
      </c>
      <c r="L3" s="201" t="s">
        <v>76</v>
      </c>
      <c r="M3" s="201" t="s">
        <v>77</v>
      </c>
      <c r="N3" s="201" t="s">
        <v>386</v>
      </c>
      <c r="O3" s="201" t="s">
        <v>387</v>
      </c>
      <c r="P3" s="201" t="s">
        <v>12</v>
      </c>
      <c r="Q3" s="201" t="s">
        <v>388</v>
      </c>
      <c r="R3" s="201" t="s">
        <v>327</v>
      </c>
      <c r="S3" s="269" t="s">
        <v>507</v>
      </c>
      <c r="T3" s="269" t="s">
        <v>385</v>
      </c>
      <c r="U3" s="271" t="s">
        <v>377</v>
      </c>
      <c r="V3" s="272"/>
      <c r="W3" s="273" t="s">
        <v>389</v>
      </c>
      <c r="X3" s="274"/>
      <c r="Y3" s="275"/>
    </row>
    <row r="4" spans="1:27" ht="30" customHeight="1" thickTop="1" thickBot="1" x14ac:dyDescent="0.35">
      <c r="A4" s="289"/>
      <c r="B4" s="282"/>
      <c r="C4" s="290"/>
      <c r="D4" s="291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  <c r="R4" s="202"/>
      <c r="S4" s="270"/>
      <c r="T4" s="270"/>
      <c r="U4" s="202" t="s">
        <v>378</v>
      </c>
      <c r="V4" s="202" t="s">
        <v>379</v>
      </c>
      <c r="W4" s="276"/>
      <c r="X4" s="277"/>
      <c r="Y4" s="278"/>
    </row>
    <row r="5" spans="1:27" ht="30" customHeight="1" thickTop="1" x14ac:dyDescent="0.3">
      <c r="A5" s="292" t="s">
        <v>78</v>
      </c>
      <c r="B5" s="293"/>
      <c r="C5" s="293"/>
      <c r="D5" s="294">
        <f t="shared" ref="D5:T5" si="0">D6+D29+D36+D39+D48+D53</f>
        <v>548206000</v>
      </c>
      <c r="E5" s="295">
        <f t="shared" si="0"/>
        <v>554916000</v>
      </c>
      <c r="F5" s="295">
        <f t="shared" si="0"/>
        <v>546098000</v>
      </c>
      <c r="G5" s="295">
        <f t="shared" si="0"/>
        <v>548206000</v>
      </c>
      <c r="H5" s="295">
        <f t="shared" si="0"/>
        <v>558482000</v>
      </c>
      <c r="I5" s="295">
        <f t="shared" si="0"/>
        <v>623850000</v>
      </c>
      <c r="J5" s="295">
        <f t="shared" si="0"/>
        <v>621258000</v>
      </c>
      <c r="K5" s="295">
        <f t="shared" si="0"/>
        <v>742221000</v>
      </c>
      <c r="L5" s="295">
        <f t="shared" si="0"/>
        <v>697598000</v>
      </c>
      <c r="M5" s="295">
        <f t="shared" si="0"/>
        <v>730726000</v>
      </c>
      <c r="N5" s="295">
        <f t="shared" si="0"/>
        <v>748428000</v>
      </c>
      <c r="O5" s="295">
        <f t="shared" si="0"/>
        <v>708099000</v>
      </c>
      <c r="P5" s="295">
        <f t="shared" si="0"/>
        <v>690061000</v>
      </c>
      <c r="Q5" s="295">
        <f t="shared" si="0"/>
        <v>751452000</v>
      </c>
      <c r="R5" s="295">
        <f t="shared" si="0"/>
        <v>767582000</v>
      </c>
      <c r="S5" s="295">
        <f t="shared" si="0"/>
        <v>3266576000</v>
      </c>
      <c r="T5" s="295">
        <f t="shared" si="0"/>
        <v>3223709000</v>
      </c>
      <c r="U5" s="296">
        <f>T5-S5</f>
        <v>-42867000</v>
      </c>
      <c r="V5" s="297">
        <f>U5/S5</f>
        <v>-1.3122915248259951E-2</v>
      </c>
      <c r="W5" s="298"/>
      <c r="X5" s="299"/>
      <c r="Y5" s="205"/>
      <c r="Z5" s="27"/>
    </row>
    <row r="6" spans="1:27" ht="30" customHeight="1" x14ac:dyDescent="0.3">
      <c r="A6" s="300" t="s">
        <v>15</v>
      </c>
      <c r="B6" s="301"/>
      <c r="C6" s="302"/>
      <c r="D6" s="303">
        <f t="shared" ref="D6:T7" si="1">D7</f>
        <v>343950000</v>
      </c>
      <c r="E6" s="304">
        <f t="shared" si="1"/>
        <v>353320000</v>
      </c>
      <c r="F6" s="304">
        <f t="shared" si="1"/>
        <v>353320000</v>
      </c>
      <c r="G6" s="304">
        <f t="shared" si="1"/>
        <v>343950000</v>
      </c>
      <c r="H6" s="305">
        <f t="shared" si="1"/>
        <v>353320000</v>
      </c>
      <c r="I6" s="306">
        <f t="shared" si="1"/>
        <v>461320000</v>
      </c>
      <c r="J6" s="306">
        <f t="shared" si="1"/>
        <v>461320000</v>
      </c>
      <c r="K6" s="306">
        <f t="shared" si="1"/>
        <v>587223000</v>
      </c>
      <c r="L6" s="307">
        <f t="shared" si="1"/>
        <v>528520000</v>
      </c>
      <c r="M6" s="308">
        <f t="shared" si="1"/>
        <v>543976000</v>
      </c>
      <c r="N6" s="308">
        <f t="shared" si="1"/>
        <v>543976000</v>
      </c>
      <c r="O6" s="308">
        <f t="shared" si="1"/>
        <v>543976000</v>
      </c>
      <c r="P6" s="308">
        <f t="shared" si="1"/>
        <v>543976000</v>
      </c>
      <c r="Q6" s="308">
        <f t="shared" si="1"/>
        <v>559895000</v>
      </c>
      <c r="R6" s="308">
        <f t="shared" si="1"/>
        <v>587223000</v>
      </c>
      <c r="S6" s="308">
        <f t="shared" si="1"/>
        <v>2974270000</v>
      </c>
      <c r="T6" s="308">
        <f t="shared" si="1"/>
        <v>2984209000</v>
      </c>
      <c r="U6" s="309">
        <f>T6-S6</f>
        <v>9939000</v>
      </c>
      <c r="V6" s="310">
        <f>U6/S6</f>
        <v>3.3416603065626188E-3</v>
      </c>
      <c r="W6" s="311"/>
      <c r="X6" s="205"/>
      <c r="Y6" s="205"/>
      <c r="AA6" s="44"/>
    </row>
    <row r="7" spans="1:27" ht="30" customHeight="1" x14ac:dyDescent="0.25">
      <c r="A7" s="312"/>
      <c r="B7" s="313" t="s">
        <v>15</v>
      </c>
      <c r="C7" s="314"/>
      <c r="D7" s="315">
        <f>D8</f>
        <v>343950000</v>
      </c>
      <c r="E7" s="316">
        <f>E8</f>
        <v>353320000</v>
      </c>
      <c r="F7" s="316">
        <f>F8</f>
        <v>353320000</v>
      </c>
      <c r="G7" s="316">
        <f>G8</f>
        <v>343950000</v>
      </c>
      <c r="H7" s="316">
        <f>H8</f>
        <v>353320000</v>
      </c>
      <c r="I7" s="317">
        <f t="shared" si="1"/>
        <v>461320000</v>
      </c>
      <c r="J7" s="317">
        <f t="shared" si="1"/>
        <v>461320000</v>
      </c>
      <c r="K7" s="317">
        <f t="shared" si="1"/>
        <v>587223000</v>
      </c>
      <c r="L7" s="317">
        <f t="shared" si="1"/>
        <v>528520000</v>
      </c>
      <c r="M7" s="317">
        <f t="shared" si="1"/>
        <v>543976000</v>
      </c>
      <c r="N7" s="317">
        <f t="shared" si="1"/>
        <v>543976000</v>
      </c>
      <c r="O7" s="317">
        <f t="shared" si="1"/>
        <v>543976000</v>
      </c>
      <c r="P7" s="317">
        <f t="shared" si="1"/>
        <v>543976000</v>
      </c>
      <c r="Q7" s="317">
        <f t="shared" si="1"/>
        <v>559895000</v>
      </c>
      <c r="R7" s="317">
        <f t="shared" si="1"/>
        <v>587223000</v>
      </c>
      <c r="S7" s="317">
        <f>S8+S24</f>
        <v>2974270000</v>
      </c>
      <c r="T7" s="317">
        <f>T8+T24</f>
        <v>2984209000</v>
      </c>
      <c r="U7" s="309">
        <f t="shared" ref="U7:U10" si="2">T7-S7</f>
        <v>9939000</v>
      </c>
      <c r="V7" s="310">
        <f t="shared" ref="V7:V9" si="3">U7/S7</f>
        <v>3.3416603065626188E-3</v>
      </c>
      <c r="W7" s="318" t="s">
        <v>340</v>
      </c>
      <c r="X7" s="319"/>
      <c r="Y7" s="319"/>
      <c r="AA7" s="27"/>
    </row>
    <row r="8" spans="1:27" ht="30" customHeight="1" x14ac:dyDescent="0.25">
      <c r="A8" s="312"/>
      <c r="B8" s="320"/>
      <c r="C8" s="321" t="s">
        <v>79</v>
      </c>
      <c r="D8" s="315">
        <f t="shared" ref="D8:R8" si="4">SUM(D9:D13)</f>
        <v>343950000</v>
      </c>
      <c r="E8" s="316">
        <f t="shared" si="4"/>
        <v>353320000</v>
      </c>
      <c r="F8" s="316">
        <f t="shared" si="4"/>
        <v>353320000</v>
      </c>
      <c r="G8" s="316">
        <f t="shared" si="4"/>
        <v>343950000</v>
      </c>
      <c r="H8" s="316">
        <f t="shared" si="4"/>
        <v>353320000</v>
      </c>
      <c r="I8" s="316">
        <f t="shared" si="4"/>
        <v>461320000</v>
      </c>
      <c r="J8" s="316">
        <f t="shared" si="4"/>
        <v>461320000</v>
      </c>
      <c r="K8" s="316">
        <f t="shared" si="4"/>
        <v>587223000</v>
      </c>
      <c r="L8" s="316">
        <f t="shared" si="4"/>
        <v>528520000</v>
      </c>
      <c r="M8" s="316">
        <f t="shared" si="4"/>
        <v>543976000</v>
      </c>
      <c r="N8" s="316">
        <f t="shared" si="4"/>
        <v>543976000</v>
      </c>
      <c r="O8" s="316">
        <f t="shared" si="4"/>
        <v>543976000</v>
      </c>
      <c r="P8" s="316">
        <f t="shared" si="4"/>
        <v>543976000</v>
      </c>
      <c r="Q8" s="316">
        <f t="shared" si="4"/>
        <v>559895000</v>
      </c>
      <c r="R8" s="316">
        <f t="shared" si="4"/>
        <v>587223000</v>
      </c>
      <c r="S8" s="316">
        <f>SUM(S9:S23)</f>
        <v>2951645000</v>
      </c>
      <c r="T8" s="316">
        <f>SUM(T9:T23)</f>
        <v>2983709000</v>
      </c>
      <c r="U8" s="309">
        <f t="shared" si="2"/>
        <v>32064000</v>
      </c>
      <c r="V8" s="310">
        <f t="shared" si="3"/>
        <v>1.0863094986016272E-2</v>
      </c>
      <c r="W8" s="318"/>
      <c r="X8" s="319"/>
      <c r="Y8" s="319"/>
    </row>
    <row r="9" spans="1:27" ht="30" customHeight="1" x14ac:dyDescent="0.3">
      <c r="A9" s="312"/>
      <c r="B9" s="322"/>
      <c r="C9" s="323" t="s">
        <v>20</v>
      </c>
      <c r="D9" s="324">
        <v>330750000</v>
      </c>
      <c r="E9" s="317">
        <v>340000000</v>
      </c>
      <c r="F9" s="317">
        <v>340000000</v>
      </c>
      <c r="G9" s="317">
        <v>330750000</v>
      </c>
      <c r="H9" s="317">
        <v>340000000</v>
      </c>
      <c r="I9" s="317">
        <v>448000000</v>
      </c>
      <c r="J9" s="317">
        <v>448000000</v>
      </c>
      <c r="K9" s="317">
        <f>X9</f>
        <v>573903000</v>
      </c>
      <c r="L9" s="317">
        <v>515200000</v>
      </c>
      <c r="M9" s="317">
        <v>530656000</v>
      </c>
      <c r="N9" s="317">
        <v>530656000</v>
      </c>
      <c r="O9" s="317">
        <v>530656000</v>
      </c>
      <c r="P9" s="317">
        <v>530656000</v>
      </c>
      <c r="Q9" s="317">
        <v>546575000</v>
      </c>
      <c r="R9" s="317">
        <f>X9</f>
        <v>573903000</v>
      </c>
      <c r="S9" s="317">
        <v>546575000</v>
      </c>
      <c r="T9" s="317">
        <f>Y9</f>
        <v>573903000</v>
      </c>
      <c r="U9" s="325">
        <f t="shared" si="2"/>
        <v>27328000</v>
      </c>
      <c r="V9" s="310">
        <f t="shared" si="3"/>
        <v>4.9998627818689106E-2</v>
      </c>
      <c r="W9" s="397" t="s">
        <v>336</v>
      </c>
      <c r="X9" s="385">
        <f>ROUNDDOWN(546575000*105%,-3)</f>
        <v>573903000</v>
      </c>
      <c r="Y9" s="385">
        <f>X9</f>
        <v>573903000</v>
      </c>
      <c r="AA9" s="27"/>
    </row>
    <row r="10" spans="1:27" ht="30" customHeight="1" x14ac:dyDescent="0.3">
      <c r="A10" s="312"/>
      <c r="B10" s="322"/>
      <c r="C10" s="326"/>
      <c r="D10" s="327"/>
      <c r="E10" s="328"/>
      <c r="F10" s="328"/>
      <c r="G10" s="328"/>
      <c r="H10" s="328"/>
      <c r="I10" s="328"/>
      <c r="J10" s="328"/>
      <c r="K10" s="328"/>
      <c r="L10" s="328"/>
      <c r="M10" s="328"/>
      <c r="N10" s="328"/>
      <c r="O10" s="328"/>
      <c r="P10" s="328"/>
      <c r="Q10" s="328"/>
      <c r="R10" s="328"/>
      <c r="S10" s="328">
        <v>0</v>
      </c>
      <c r="T10" s="328">
        <f>SUM(Y10)</f>
        <v>10000000</v>
      </c>
      <c r="U10" s="329">
        <f t="shared" si="2"/>
        <v>10000000</v>
      </c>
      <c r="V10" s="330">
        <v>0</v>
      </c>
      <c r="W10" s="331" t="s">
        <v>390</v>
      </c>
      <c r="X10" s="332">
        <f>7000000*1</f>
        <v>7000000</v>
      </c>
      <c r="Y10" s="332">
        <f>SUM(X10:X11)</f>
        <v>10000000</v>
      </c>
      <c r="AA10" s="27"/>
    </row>
    <row r="11" spans="1:27" ht="30" customHeight="1" x14ac:dyDescent="0.3">
      <c r="A11" s="312"/>
      <c r="B11" s="322"/>
      <c r="C11" s="326"/>
      <c r="D11" s="327"/>
      <c r="E11" s="328"/>
      <c r="F11" s="328"/>
      <c r="G11" s="328"/>
      <c r="H11" s="328"/>
      <c r="I11" s="328"/>
      <c r="J11" s="328"/>
      <c r="K11" s="328"/>
      <c r="L11" s="328"/>
      <c r="M11" s="328"/>
      <c r="N11" s="328"/>
      <c r="O11" s="328"/>
      <c r="P11" s="328"/>
      <c r="Q11" s="328"/>
      <c r="R11" s="328"/>
      <c r="S11" s="328"/>
      <c r="T11" s="328"/>
      <c r="U11" s="333"/>
      <c r="V11" s="334"/>
      <c r="W11" s="335" t="s">
        <v>391</v>
      </c>
      <c r="X11" s="336">
        <f>3000000*1</f>
        <v>3000000</v>
      </c>
      <c r="Y11" s="336"/>
      <c r="AA11" s="27"/>
    </row>
    <row r="12" spans="1:27" ht="31.5" customHeight="1" x14ac:dyDescent="0.3">
      <c r="A12" s="312"/>
      <c r="B12" s="322"/>
      <c r="C12" s="337" t="s">
        <v>22</v>
      </c>
      <c r="D12" s="338">
        <v>13200000</v>
      </c>
      <c r="E12" s="339">
        <v>13320000</v>
      </c>
      <c r="F12" s="339">
        <v>13320000</v>
      </c>
      <c r="G12" s="339">
        <v>13200000</v>
      </c>
      <c r="H12" s="339">
        <v>13320000</v>
      </c>
      <c r="I12" s="339">
        <v>13320000</v>
      </c>
      <c r="J12" s="339">
        <v>13320000</v>
      </c>
      <c r="K12" s="339">
        <v>13320000</v>
      </c>
      <c r="L12" s="339">
        <v>13320000</v>
      </c>
      <c r="M12" s="339">
        <v>13320000</v>
      </c>
      <c r="N12" s="339">
        <v>13320000</v>
      </c>
      <c r="O12" s="339">
        <v>13320000</v>
      </c>
      <c r="P12" s="339">
        <v>13320000</v>
      </c>
      <c r="Q12" s="339">
        <v>13320000</v>
      </c>
      <c r="R12" s="339">
        <v>13320000</v>
      </c>
      <c r="S12" s="339">
        <v>12720000</v>
      </c>
      <c r="T12" s="339">
        <f>Y12</f>
        <v>12720000</v>
      </c>
      <c r="U12" s="329">
        <f>T12-S12</f>
        <v>0</v>
      </c>
      <c r="V12" s="330">
        <f>U12/S12</f>
        <v>0</v>
      </c>
      <c r="W12" s="340" t="s">
        <v>339</v>
      </c>
      <c r="X12" s="332">
        <f>6*150000*12</f>
        <v>10800000</v>
      </c>
      <c r="Y12" s="332">
        <f>SUM(X12:X13)</f>
        <v>12720000</v>
      </c>
    </row>
    <row r="13" spans="1:27" ht="30" customHeight="1" x14ac:dyDescent="0.3">
      <c r="A13" s="312"/>
      <c r="B13" s="322"/>
      <c r="C13" s="341"/>
      <c r="D13" s="324"/>
      <c r="E13" s="317"/>
      <c r="F13" s="317"/>
      <c r="G13" s="317"/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33"/>
      <c r="V13" s="334"/>
      <c r="W13" s="342" t="s">
        <v>338</v>
      </c>
      <c r="X13" s="205">
        <f>(1*120000*12)+(1*120000*4)</f>
        <v>1920000</v>
      </c>
      <c r="Y13" s="205"/>
    </row>
    <row r="14" spans="1:27" ht="30" customHeight="1" x14ac:dyDescent="0.3">
      <c r="A14" s="312"/>
      <c r="B14" s="322"/>
      <c r="C14" s="343" t="s">
        <v>456</v>
      </c>
      <c r="D14" s="324"/>
      <c r="E14" s="317"/>
      <c r="F14" s="317"/>
      <c r="G14" s="317"/>
      <c r="H14" s="317"/>
      <c r="I14" s="317"/>
      <c r="J14" s="317"/>
      <c r="K14" s="317"/>
      <c r="L14" s="317"/>
      <c r="M14" s="317"/>
      <c r="N14" s="317"/>
      <c r="O14" s="317"/>
      <c r="P14" s="317"/>
      <c r="Q14" s="317"/>
      <c r="R14" s="317"/>
      <c r="S14" s="317">
        <v>25000000</v>
      </c>
      <c r="T14" s="317">
        <f>Y14</f>
        <v>28463000</v>
      </c>
      <c r="U14" s="329">
        <f t="shared" ref="U14:U28" si="5">T14-S14</f>
        <v>3463000</v>
      </c>
      <c r="V14" s="344">
        <f t="shared" ref="V14:V28" si="6">U14/S14</f>
        <v>0.13852</v>
      </c>
      <c r="W14" s="342" t="s">
        <v>456</v>
      </c>
      <c r="X14" s="205">
        <v>28463000</v>
      </c>
      <c r="Y14" s="205">
        <f>X14</f>
        <v>28463000</v>
      </c>
    </row>
    <row r="15" spans="1:27" ht="30" customHeight="1" x14ac:dyDescent="0.3">
      <c r="A15" s="312"/>
      <c r="B15" s="322"/>
      <c r="C15" s="343" t="s">
        <v>455</v>
      </c>
      <c r="D15" s="324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7">
        <v>40200000</v>
      </c>
      <c r="T15" s="317">
        <f>Y15</f>
        <v>52259000</v>
      </c>
      <c r="U15" s="329">
        <f t="shared" si="5"/>
        <v>12059000</v>
      </c>
      <c r="V15" s="344">
        <f t="shared" si="6"/>
        <v>0.29997512437810947</v>
      </c>
      <c r="W15" s="342" t="s">
        <v>497</v>
      </c>
      <c r="X15" s="205">
        <f>ROUNDUP(3500*237*63,-3)</f>
        <v>52259000</v>
      </c>
      <c r="Y15" s="205">
        <f>X15</f>
        <v>52259000</v>
      </c>
    </row>
    <row r="16" spans="1:27" ht="30" customHeight="1" x14ac:dyDescent="0.3">
      <c r="A16" s="312"/>
      <c r="B16" s="322"/>
      <c r="C16" s="343" t="s">
        <v>457</v>
      </c>
      <c r="D16" s="324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7">
        <v>15000000</v>
      </c>
      <c r="T16" s="317">
        <f>Y16</f>
        <v>15093000</v>
      </c>
      <c r="U16" s="329">
        <f t="shared" si="5"/>
        <v>93000</v>
      </c>
      <c r="V16" s="344">
        <f t="shared" si="6"/>
        <v>6.1999999999999998E-3</v>
      </c>
      <c r="W16" s="342" t="s">
        <v>499</v>
      </c>
      <c r="X16" s="205">
        <f>1350*52*5*43</f>
        <v>15093000</v>
      </c>
      <c r="Y16" s="205">
        <f>X16</f>
        <v>15093000</v>
      </c>
    </row>
    <row r="17" spans="1:25" ht="30" customHeight="1" x14ac:dyDescent="0.3">
      <c r="A17" s="312"/>
      <c r="B17" s="322"/>
      <c r="C17" s="345" t="s">
        <v>458</v>
      </c>
      <c r="D17" s="338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39">
        <v>2089200000</v>
      </c>
      <c r="T17" s="339">
        <f>Y17</f>
        <v>2070360000</v>
      </c>
      <c r="U17" s="329">
        <f t="shared" si="5"/>
        <v>-18840000</v>
      </c>
      <c r="V17" s="344">
        <f t="shared" si="6"/>
        <v>-9.0178058587018963E-3</v>
      </c>
      <c r="W17" s="340" t="s">
        <v>500</v>
      </c>
      <c r="X17" s="332">
        <v>2022300000</v>
      </c>
      <c r="Y17" s="332">
        <f>SUM(X17:X18)</f>
        <v>2070360000</v>
      </c>
    </row>
    <row r="18" spans="1:25" ht="30" customHeight="1" x14ac:dyDescent="0.3">
      <c r="A18" s="312"/>
      <c r="B18" s="322"/>
      <c r="C18" s="343"/>
      <c r="D18" s="324"/>
      <c r="E18" s="317"/>
      <c r="F18" s="317"/>
      <c r="G18" s="317"/>
      <c r="H18" s="317"/>
      <c r="I18" s="317"/>
      <c r="J18" s="317"/>
      <c r="K18" s="317"/>
      <c r="L18" s="317"/>
      <c r="M18" s="317"/>
      <c r="N18" s="317"/>
      <c r="O18" s="317"/>
      <c r="P18" s="317"/>
      <c r="Q18" s="317"/>
      <c r="R18" s="317"/>
      <c r="S18" s="317"/>
      <c r="T18" s="317"/>
      <c r="U18" s="333"/>
      <c r="V18" s="334"/>
      <c r="W18" s="342" t="s">
        <v>501</v>
      </c>
      <c r="X18" s="205">
        <v>48060000</v>
      </c>
      <c r="Y18" s="205"/>
    </row>
    <row r="19" spans="1:25" ht="30" customHeight="1" x14ac:dyDescent="0.3">
      <c r="A19" s="312"/>
      <c r="B19" s="322"/>
      <c r="C19" s="343" t="s">
        <v>459</v>
      </c>
      <c r="D19" s="324"/>
      <c r="E19" s="317"/>
      <c r="F19" s="317"/>
      <c r="G19" s="317"/>
      <c r="H19" s="317"/>
      <c r="I19" s="317"/>
      <c r="J19" s="317"/>
      <c r="K19" s="317"/>
      <c r="L19" s="317"/>
      <c r="M19" s="317"/>
      <c r="N19" s="317"/>
      <c r="O19" s="317"/>
      <c r="P19" s="317"/>
      <c r="Q19" s="317"/>
      <c r="R19" s="317"/>
      <c r="S19" s="317">
        <v>125158000</v>
      </c>
      <c r="T19" s="317">
        <f>Y19</f>
        <v>134750000</v>
      </c>
      <c r="U19" s="329">
        <f t="shared" si="5"/>
        <v>9592000</v>
      </c>
      <c r="V19" s="344">
        <f t="shared" si="6"/>
        <v>7.6639128142028473E-2</v>
      </c>
      <c r="W19" s="342" t="s">
        <v>503</v>
      </c>
      <c r="X19" s="205">
        <f>(1976000*13*5)+(1262000*5)</f>
        <v>134750000</v>
      </c>
      <c r="Y19" s="205">
        <f>X19</f>
        <v>134750000</v>
      </c>
    </row>
    <row r="20" spans="1:25" ht="30" customHeight="1" x14ac:dyDescent="0.3">
      <c r="A20" s="312"/>
      <c r="B20" s="322"/>
      <c r="C20" s="343" t="s">
        <v>460</v>
      </c>
      <c r="D20" s="324"/>
      <c r="E20" s="317"/>
      <c r="F20" s="317"/>
      <c r="G20" s="317"/>
      <c r="H20" s="317"/>
      <c r="I20" s="317"/>
      <c r="J20" s="317"/>
      <c r="K20" s="317"/>
      <c r="L20" s="317"/>
      <c r="M20" s="317"/>
      <c r="N20" s="317"/>
      <c r="O20" s="317"/>
      <c r="P20" s="317"/>
      <c r="Q20" s="317"/>
      <c r="R20" s="317"/>
      <c r="S20" s="317">
        <v>28060000</v>
      </c>
      <c r="T20" s="317">
        <f>Y20</f>
        <v>29562000</v>
      </c>
      <c r="U20" s="329">
        <f t="shared" si="5"/>
        <v>1502000</v>
      </c>
      <c r="V20" s="344">
        <f t="shared" si="6"/>
        <v>5.3528153955808983E-2</v>
      </c>
      <c r="W20" s="342" t="s">
        <v>596</v>
      </c>
      <c r="X20" s="205">
        <v>29562000</v>
      </c>
      <c r="Y20" s="205">
        <f>X20</f>
        <v>29562000</v>
      </c>
    </row>
    <row r="21" spans="1:25" ht="30" customHeight="1" x14ac:dyDescent="0.3">
      <c r="A21" s="312"/>
      <c r="B21" s="322"/>
      <c r="C21" s="343" t="s">
        <v>461</v>
      </c>
      <c r="D21" s="324"/>
      <c r="E21" s="317"/>
      <c r="F21" s="317"/>
      <c r="G21" s="317"/>
      <c r="H21" s="317"/>
      <c r="I21" s="317"/>
      <c r="J21" s="317"/>
      <c r="K21" s="317"/>
      <c r="L21" s="317"/>
      <c r="M21" s="317"/>
      <c r="N21" s="317"/>
      <c r="O21" s="317"/>
      <c r="P21" s="317"/>
      <c r="Q21" s="317"/>
      <c r="R21" s="317"/>
      <c r="S21" s="317">
        <v>0</v>
      </c>
      <c r="T21" s="317">
        <f>X21</f>
        <v>15432000</v>
      </c>
      <c r="U21" s="329">
        <f t="shared" si="5"/>
        <v>15432000</v>
      </c>
      <c r="V21" s="344">
        <v>0</v>
      </c>
      <c r="W21" s="342" t="s">
        <v>504</v>
      </c>
      <c r="X21" s="205">
        <v>15432000</v>
      </c>
      <c r="Y21" s="205">
        <f>X21</f>
        <v>15432000</v>
      </c>
    </row>
    <row r="22" spans="1:25" ht="30" customHeight="1" x14ac:dyDescent="0.3">
      <c r="A22" s="312"/>
      <c r="B22" s="322"/>
      <c r="C22" s="343" t="s">
        <v>485</v>
      </c>
      <c r="D22" s="324"/>
      <c r="E22" s="317"/>
      <c r="F22" s="317"/>
      <c r="G22" s="317"/>
      <c r="H22" s="317"/>
      <c r="I22" s="317"/>
      <c r="J22" s="317"/>
      <c r="K22" s="317"/>
      <c r="L22" s="317"/>
      <c r="M22" s="317"/>
      <c r="N22" s="317"/>
      <c r="O22" s="317"/>
      <c r="P22" s="317"/>
      <c r="Q22" s="317"/>
      <c r="R22" s="317"/>
      <c r="S22" s="317">
        <v>37532000</v>
      </c>
      <c r="T22" s="317">
        <f>Y22</f>
        <v>41167000</v>
      </c>
      <c r="U22" s="329">
        <f t="shared" si="5"/>
        <v>3635000</v>
      </c>
      <c r="V22" s="344">
        <f t="shared" si="6"/>
        <v>9.685068741340723E-2</v>
      </c>
      <c r="W22" s="342" t="s">
        <v>462</v>
      </c>
      <c r="X22" s="205">
        <v>41167000</v>
      </c>
      <c r="Y22" s="205">
        <f>X22</f>
        <v>41167000</v>
      </c>
    </row>
    <row r="23" spans="1:25" ht="30" customHeight="1" x14ac:dyDescent="0.3">
      <c r="A23" s="312"/>
      <c r="B23" s="322"/>
      <c r="C23" s="343" t="s">
        <v>486</v>
      </c>
      <c r="D23" s="324"/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17">
        <v>32200000</v>
      </c>
      <c r="T23" s="317">
        <f>Y23</f>
        <v>0</v>
      </c>
      <c r="U23" s="329">
        <f t="shared" si="5"/>
        <v>-32200000</v>
      </c>
      <c r="V23" s="344">
        <f t="shared" si="6"/>
        <v>-1</v>
      </c>
      <c r="W23" s="342"/>
      <c r="X23" s="205"/>
      <c r="Y23" s="205">
        <v>0</v>
      </c>
    </row>
    <row r="24" spans="1:25" ht="30" customHeight="1" x14ac:dyDescent="0.3">
      <c r="A24" s="312"/>
      <c r="B24" s="322"/>
      <c r="C24" s="343" t="s">
        <v>464</v>
      </c>
      <c r="D24" s="324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317"/>
      <c r="Q24" s="317"/>
      <c r="R24" s="317"/>
      <c r="S24" s="317">
        <f>SUM(S25:S28)</f>
        <v>22625000</v>
      </c>
      <c r="T24" s="317">
        <f>SUM(T25:T28)</f>
        <v>500000</v>
      </c>
      <c r="U24" s="329">
        <f t="shared" si="5"/>
        <v>-22125000</v>
      </c>
      <c r="V24" s="344">
        <f t="shared" si="6"/>
        <v>-0.97790055248618779</v>
      </c>
      <c r="W24" s="342"/>
      <c r="X24" s="205"/>
      <c r="Y24" s="205"/>
    </row>
    <row r="25" spans="1:25" ht="30" customHeight="1" x14ac:dyDescent="0.3">
      <c r="A25" s="312"/>
      <c r="B25" s="322"/>
      <c r="C25" s="343" t="s">
        <v>465</v>
      </c>
      <c r="D25" s="324"/>
      <c r="E25" s="317"/>
      <c r="F25" s="317"/>
      <c r="G25" s="317"/>
      <c r="H25" s="317"/>
      <c r="I25" s="317"/>
      <c r="J25" s="317"/>
      <c r="K25" s="317"/>
      <c r="L25" s="317"/>
      <c r="M25" s="317"/>
      <c r="N25" s="317"/>
      <c r="O25" s="317"/>
      <c r="P25" s="317"/>
      <c r="Q25" s="317"/>
      <c r="R25" s="317"/>
      <c r="S25" s="317">
        <v>500000</v>
      </c>
      <c r="T25" s="317">
        <f>Y25</f>
        <v>500000</v>
      </c>
      <c r="U25" s="329">
        <f t="shared" si="5"/>
        <v>0</v>
      </c>
      <c r="V25" s="344">
        <f t="shared" si="6"/>
        <v>0</v>
      </c>
      <c r="W25" s="342" t="s">
        <v>505</v>
      </c>
      <c r="X25" s="205">
        <f>500000*1</f>
        <v>500000</v>
      </c>
      <c r="Y25" s="205">
        <f>X25</f>
        <v>500000</v>
      </c>
    </row>
    <row r="26" spans="1:25" ht="30" customHeight="1" x14ac:dyDescent="0.3">
      <c r="A26" s="312"/>
      <c r="B26" s="322"/>
      <c r="C26" s="346" t="s">
        <v>487</v>
      </c>
      <c r="D26" s="324"/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7">
        <v>1600000</v>
      </c>
      <c r="T26" s="317">
        <f>Y26</f>
        <v>0</v>
      </c>
      <c r="U26" s="329">
        <f t="shared" si="5"/>
        <v>-1600000</v>
      </c>
      <c r="V26" s="344">
        <f t="shared" si="6"/>
        <v>-1</v>
      </c>
      <c r="W26" s="342"/>
      <c r="X26" s="205"/>
      <c r="Y26" s="205">
        <v>0</v>
      </c>
    </row>
    <row r="27" spans="1:25" ht="30" customHeight="1" x14ac:dyDescent="0.3">
      <c r="A27" s="312"/>
      <c r="B27" s="322"/>
      <c r="C27" s="346" t="s">
        <v>488</v>
      </c>
      <c r="D27" s="324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7">
        <v>6400000</v>
      </c>
      <c r="T27" s="317">
        <f t="shared" ref="T27:T28" si="7">Y27</f>
        <v>0</v>
      </c>
      <c r="U27" s="329">
        <f t="shared" si="5"/>
        <v>-6400000</v>
      </c>
      <c r="V27" s="344">
        <f t="shared" si="6"/>
        <v>-1</v>
      </c>
      <c r="W27" s="342"/>
      <c r="X27" s="205"/>
      <c r="Y27" s="205">
        <v>0</v>
      </c>
    </row>
    <row r="28" spans="1:25" ht="30" customHeight="1" x14ac:dyDescent="0.3">
      <c r="A28" s="347"/>
      <c r="B28" s="348"/>
      <c r="C28" s="343" t="s">
        <v>468</v>
      </c>
      <c r="D28" s="324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7">
        <v>14125000</v>
      </c>
      <c r="T28" s="317">
        <f t="shared" si="7"/>
        <v>0</v>
      </c>
      <c r="U28" s="349">
        <f t="shared" si="5"/>
        <v>-14125000</v>
      </c>
      <c r="V28" s="350">
        <f t="shared" si="6"/>
        <v>-1</v>
      </c>
      <c r="W28" s="342"/>
      <c r="X28" s="205"/>
      <c r="Y28" s="205">
        <v>0</v>
      </c>
    </row>
    <row r="29" spans="1:25" ht="30" customHeight="1" x14ac:dyDescent="0.3">
      <c r="A29" s="351" t="s">
        <v>2</v>
      </c>
      <c r="B29" s="352"/>
      <c r="C29" s="353"/>
      <c r="D29" s="354">
        <f t="shared" ref="D29:T30" si="8">D30</f>
        <v>59980000</v>
      </c>
      <c r="E29" s="355">
        <f t="shared" si="8"/>
        <v>57600000</v>
      </c>
      <c r="F29" s="355">
        <f t="shared" si="8"/>
        <v>57600000</v>
      </c>
      <c r="G29" s="355">
        <f t="shared" si="8"/>
        <v>59980000</v>
      </c>
      <c r="H29" s="355">
        <f t="shared" si="8"/>
        <v>73000000</v>
      </c>
      <c r="I29" s="308">
        <f t="shared" si="8"/>
        <v>66400000</v>
      </c>
      <c r="J29" s="308">
        <f t="shared" si="8"/>
        <v>67200000</v>
      </c>
      <c r="K29" s="308">
        <f t="shared" si="8"/>
        <v>67200000</v>
      </c>
      <c r="L29" s="308">
        <f t="shared" si="8"/>
        <v>65100000</v>
      </c>
      <c r="M29" s="308">
        <f t="shared" si="8"/>
        <v>71700000</v>
      </c>
      <c r="N29" s="308">
        <f t="shared" si="8"/>
        <v>71700000</v>
      </c>
      <c r="O29" s="308">
        <f t="shared" si="8"/>
        <v>46000000</v>
      </c>
      <c r="P29" s="308">
        <f t="shared" si="8"/>
        <v>38400000</v>
      </c>
      <c r="Q29" s="308">
        <f t="shared" si="8"/>
        <v>72000000</v>
      </c>
      <c r="R29" s="308">
        <f t="shared" si="8"/>
        <v>72000000</v>
      </c>
      <c r="S29" s="308">
        <f t="shared" si="8"/>
        <v>86075000</v>
      </c>
      <c r="T29" s="308">
        <f t="shared" si="8"/>
        <v>79200000</v>
      </c>
      <c r="U29" s="309">
        <f>T29-S29</f>
        <v>-6875000</v>
      </c>
      <c r="V29" s="310">
        <f>U29/S29</f>
        <v>-7.9872204472843447E-2</v>
      </c>
      <c r="W29" s="356"/>
      <c r="X29" s="357"/>
      <c r="Y29" s="357"/>
    </row>
    <row r="30" spans="1:25" ht="30" customHeight="1" x14ac:dyDescent="0.3">
      <c r="A30" s="312"/>
      <c r="B30" s="313" t="s">
        <v>2</v>
      </c>
      <c r="C30" s="358"/>
      <c r="D30" s="359">
        <f>SUM(D31:D34)</f>
        <v>59980000</v>
      </c>
      <c r="E30" s="360">
        <f>SUM(E31:E34)</f>
        <v>57600000</v>
      </c>
      <c r="F30" s="360">
        <v>57600000</v>
      </c>
      <c r="G30" s="360">
        <f>SUM(G31)</f>
        <v>59980000</v>
      </c>
      <c r="H30" s="360">
        <f>SUM(H31)</f>
        <v>73000000</v>
      </c>
      <c r="I30" s="360">
        <f t="shared" si="8"/>
        <v>66400000</v>
      </c>
      <c r="J30" s="360">
        <f t="shared" si="8"/>
        <v>67200000</v>
      </c>
      <c r="K30" s="360">
        <f t="shared" si="8"/>
        <v>67200000</v>
      </c>
      <c r="L30" s="360">
        <f t="shared" si="8"/>
        <v>65100000</v>
      </c>
      <c r="M30" s="360">
        <f t="shared" si="8"/>
        <v>71700000</v>
      </c>
      <c r="N30" s="360">
        <f t="shared" si="8"/>
        <v>71700000</v>
      </c>
      <c r="O30" s="360">
        <f t="shared" si="8"/>
        <v>46000000</v>
      </c>
      <c r="P30" s="360">
        <f t="shared" si="8"/>
        <v>38400000</v>
      </c>
      <c r="Q30" s="360">
        <f t="shared" si="8"/>
        <v>72000000</v>
      </c>
      <c r="R30" s="360">
        <f t="shared" si="8"/>
        <v>72000000</v>
      </c>
      <c r="S30" s="360">
        <f>SUM(S31:S35)</f>
        <v>86075000</v>
      </c>
      <c r="T30" s="360">
        <f>SUM(T31:T35)</f>
        <v>79200000</v>
      </c>
      <c r="U30" s="325">
        <f>T30-S30</f>
        <v>-6875000</v>
      </c>
      <c r="V30" s="310">
        <f>U30/S30</f>
        <v>-7.9872204472843447E-2</v>
      </c>
      <c r="W30" s="361"/>
      <c r="X30" s="362"/>
      <c r="Y30" s="362"/>
    </row>
    <row r="31" spans="1:25" ht="30" customHeight="1" x14ac:dyDescent="0.3">
      <c r="A31" s="312"/>
      <c r="B31" s="320"/>
      <c r="C31" s="337" t="s">
        <v>42</v>
      </c>
      <c r="D31" s="363">
        <v>59980000</v>
      </c>
      <c r="E31" s="364">
        <v>57600000</v>
      </c>
      <c r="F31" s="364">
        <v>57600000</v>
      </c>
      <c r="G31" s="364">
        <v>59980000</v>
      </c>
      <c r="H31" s="364">
        <v>73000000</v>
      </c>
      <c r="I31" s="364">
        <v>66400000</v>
      </c>
      <c r="J31" s="364">
        <v>67200000</v>
      </c>
      <c r="K31" s="364">
        <v>67200000</v>
      </c>
      <c r="L31" s="364">
        <v>65100000</v>
      </c>
      <c r="M31" s="364">
        <v>71700000</v>
      </c>
      <c r="N31" s="364">
        <v>71700000</v>
      </c>
      <c r="O31" s="364">
        <v>46000000</v>
      </c>
      <c r="P31" s="364">
        <v>38400000</v>
      </c>
      <c r="Q31" s="364">
        <v>72000000</v>
      </c>
      <c r="R31" s="364">
        <v>72000000</v>
      </c>
      <c r="S31" s="364">
        <v>75800000</v>
      </c>
      <c r="T31" s="364">
        <f>SUM(Y31:Y34)</f>
        <v>79200000</v>
      </c>
      <c r="U31" s="365">
        <f>T31-S31</f>
        <v>3400000</v>
      </c>
      <c r="V31" s="366">
        <f>U31/S31</f>
        <v>4.4854881266490766E-2</v>
      </c>
      <c r="W31" s="367" t="s">
        <v>373</v>
      </c>
      <c r="X31" s="332">
        <f>3100000*12</f>
        <v>37200000</v>
      </c>
      <c r="Y31" s="332">
        <f>X31</f>
        <v>37200000</v>
      </c>
    </row>
    <row r="32" spans="1:25" ht="30" customHeight="1" x14ac:dyDescent="0.3">
      <c r="A32" s="312"/>
      <c r="B32" s="320"/>
      <c r="C32" s="368"/>
      <c r="D32" s="363"/>
      <c r="E32" s="364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4"/>
      <c r="T32" s="364"/>
      <c r="U32" s="365"/>
      <c r="V32" s="369"/>
      <c r="W32" s="361" t="s">
        <v>321</v>
      </c>
      <c r="X32" s="336">
        <f>500000*12</f>
        <v>6000000</v>
      </c>
      <c r="Y32" s="336">
        <f>X32</f>
        <v>6000000</v>
      </c>
    </row>
    <row r="33" spans="1:25" ht="36" customHeight="1" x14ac:dyDescent="0.3">
      <c r="A33" s="312"/>
      <c r="B33" s="320"/>
      <c r="C33" s="368"/>
      <c r="D33" s="363"/>
      <c r="E33" s="364"/>
      <c r="F33" s="364"/>
      <c r="G33" s="364"/>
      <c r="H33" s="364"/>
      <c r="I33" s="364"/>
      <c r="J33" s="364"/>
      <c r="K33" s="364"/>
      <c r="L33" s="364"/>
      <c r="M33" s="364"/>
      <c r="N33" s="364"/>
      <c r="O33" s="364"/>
      <c r="P33" s="364"/>
      <c r="Q33" s="364"/>
      <c r="R33" s="364"/>
      <c r="S33" s="364"/>
      <c r="T33" s="364"/>
      <c r="U33" s="365"/>
      <c r="V33" s="369"/>
      <c r="W33" s="361" t="s">
        <v>375</v>
      </c>
      <c r="X33" s="336">
        <f>1000000*1</f>
        <v>1000000</v>
      </c>
      <c r="Y33" s="336">
        <f>X33</f>
        <v>1000000</v>
      </c>
    </row>
    <row r="34" spans="1:25" ht="37.5" customHeight="1" x14ac:dyDescent="0.3">
      <c r="A34" s="312"/>
      <c r="B34" s="320"/>
      <c r="C34" s="356"/>
      <c r="D34" s="370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1"/>
      <c r="T34" s="371"/>
      <c r="U34" s="372"/>
      <c r="V34" s="373"/>
      <c r="W34" s="374" t="s">
        <v>322</v>
      </c>
      <c r="X34" s="205">
        <f>35000000*1</f>
        <v>35000000</v>
      </c>
      <c r="Y34" s="205">
        <f>X34</f>
        <v>35000000</v>
      </c>
    </row>
    <row r="35" spans="1:25" ht="37.5" customHeight="1" x14ac:dyDescent="0.3">
      <c r="A35" s="312"/>
      <c r="B35" s="320"/>
      <c r="C35" s="368" t="s">
        <v>491</v>
      </c>
      <c r="D35" s="363"/>
      <c r="E35" s="364"/>
      <c r="F35" s="364"/>
      <c r="G35" s="364"/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4">
        <v>10275000</v>
      </c>
      <c r="T35" s="364">
        <f>Y35</f>
        <v>0</v>
      </c>
      <c r="U35" s="375">
        <f>T35-S35</f>
        <v>-10275000</v>
      </c>
      <c r="V35" s="366">
        <f>U35/S35</f>
        <v>-1</v>
      </c>
      <c r="W35" s="361"/>
      <c r="X35" s="336"/>
      <c r="Y35" s="336">
        <v>0</v>
      </c>
    </row>
    <row r="36" spans="1:25" ht="30" customHeight="1" x14ac:dyDescent="0.3">
      <c r="A36" s="376" t="s">
        <v>46</v>
      </c>
      <c r="B36" s="377"/>
      <c r="C36" s="378"/>
      <c r="D36" s="379">
        <f t="shared" ref="D36:T37" si="9">D37</f>
        <v>49613000</v>
      </c>
      <c r="E36" s="380">
        <f t="shared" si="9"/>
        <v>51000000</v>
      </c>
      <c r="F36" s="380">
        <f t="shared" si="9"/>
        <v>51000000</v>
      </c>
      <c r="G36" s="380">
        <f t="shared" si="9"/>
        <v>49613000</v>
      </c>
      <c r="H36" s="380">
        <f t="shared" si="9"/>
        <v>51000000</v>
      </c>
      <c r="I36" s="381">
        <f t="shared" si="9"/>
        <v>25000000</v>
      </c>
      <c r="J36" s="381">
        <f t="shared" si="9"/>
        <v>25000000</v>
      </c>
      <c r="K36" s="381">
        <f t="shared" si="9"/>
        <v>0</v>
      </c>
      <c r="L36" s="381">
        <f t="shared" si="9"/>
        <v>25000000</v>
      </c>
      <c r="M36" s="381">
        <f t="shared" si="9"/>
        <v>25000000</v>
      </c>
      <c r="N36" s="381">
        <f t="shared" si="9"/>
        <v>25000000</v>
      </c>
      <c r="O36" s="381">
        <f t="shared" si="9"/>
        <v>25000000</v>
      </c>
      <c r="P36" s="381">
        <f t="shared" si="9"/>
        <v>25000000</v>
      </c>
      <c r="Q36" s="381">
        <f t="shared" si="9"/>
        <v>25000000</v>
      </c>
      <c r="R36" s="381">
        <f t="shared" si="9"/>
        <v>25000000</v>
      </c>
      <c r="S36" s="381">
        <f t="shared" si="9"/>
        <v>25007000</v>
      </c>
      <c r="T36" s="381">
        <f t="shared" si="9"/>
        <v>25000000</v>
      </c>
      <c r="U36" s="382">
        <f>T36-S36</f>
        <v>-7000</v>
      </c>
      <c r="V36" s="383">
        <f>U36/S36</f>
        <v>-2.7992162194585515E-4</v>
      </c>
      <c r="W36" s="384"/>
      <c r="X36" s="385"/>
      <c r="Y36" s="385"/>
    </row>
    <row r="37" spans="1:25" ht="30" customHeight="1" x14ac:dyDescent="0.25">
      <c r="A37" s="386"/>
      <c r="B37" s="387" t="s">
        <v>46</v>
      </c>
      <c r="C37" s="388"/>
      <c r="D37" s="389">
        <f t="shared" si="9"/>
        <v>49613000</v>
      </c>
      <c r="E37" s="390">
        <f t="shared" si="9"/>
        <v>51000000</v>
      </c>
      <c r="F37" s="390">
        <f t="shared" si="9"/>
        <v>51000000</v>
      </c>
      <c r="G37" s="390">
        <f t="shared" si="9"/>
        <v>49613000</v>
      </c>
      <c r="H37" s="390">
        <f t="shared" si="9"/>
        <v>51000000</v>
      </c>
      <c r="I37" s="391">
        <f t="shared" si="9"/>
        <v>25000000</v>
      </c>
      <c r="J37" s="391">
        <f t="shared" si="9"/>
        <v>25000000</v>
      </c>
      <c r="K37" s="391">
        <f t="shared" si="9"/>
        <v>0</v>
      </c>
      <c r="L37" s="391">
        <f t="shared" si="9"/>
        <v>25000000</v>
      </c>
      <c r="M37" s="391">
        <f t="shared" si="9"/>
        <v>25000000</v>
      </c>
      <c r="N37" s="391">
        <f t="shared" si="9"/>
        <v>25000000</v>
      </c>
      <c r="O37" s="391">
        <f t="shared" si="9"/>
        <v>25000000</v>
      </c>
      <c r="P37" s="391">
        <f t="shared" si="9"/>
        <v>25000000</v>
      </c>
      <c r="Q37" s="391">
        <f t="shared" si="9"/>
        <v>25000000</v>
      </c>
      <c r="R37" s="391">
        <f t="shared" si="9"/>
        <v>25000000</v>
      </c>
      <c r="S37" s="391">
        <f t="shared" si="9"/>
        <v>25007000</v>
      </c>
      <c r="T37" s="391">
        <f t="shared" si="9"/>
        <v>25000000</v>
      </c>
      <c r="U37" s="392">
        <f t="shared" ref="U37:U40" si="10">T37-S37</f>
        <v>-7000</v>
      </c>
      <c r="V37" s="383">
        <f t="shared" ref="V37:V40" si="11">U37/S37</f>
        <v>-2.7992162194585515E-4</v>
      </c>
      <c r="W37" s="318"/>
      <c r="X37" s="319"/>
      <c r="Y37" s="319"/>
    </row>
    <row r="38" spans="1:25" ht="38.25" customHeight="1" x14ac:dyDescent="0.3">
      <c r="A38" s="393"/>
      <c r="B38" s="394"/>
      <c r="C38" s="394" t="s">
        <v>1</v>
      </c>
      <c r="D38" s="395">
        <v>49613000</v>
      </c>
      <c r="E38" s="396">
        <v>51000000</v>
      </c>
      <c r="F38" s="396">
        <v>51000000</v>
      </c>
      <c r="G38" s="396">
        <v>49613000</v>
      </c>
      <c r="H38" s="396">
        <v>51000000</v>
      </c>
      <c r="I38" s="396">
        <v>25000000</v>
      </c>
      <c r="J38" s="396">
        <v>25000000</v>
      </c>
      <c r="K38" s="396"/>
      <c r="L38" s="396">
        <v>25000000</v>
      </c>
      <c r="M38" s="396">
        <v>25000000</v>
      </c>
      <c r="N38" s="396">
        <v>25000000</v>
      </c>
      <c r="O38" s="396">
        <v>25000000</v>
      </c>
      <c r="P38" s="396">
        <v>25000000</v>
      </c>
      <c r="Q38" s="396">
        <v>25000000</v>
      </c>
      <c r="R38" s="396">
        <v>25000000</v>
      </c>
      <c r="S38" s="396">
        <v>25007000</v>
      </c>
      <c r="T38" s="396">
        <f>Y38</f>
        <v>25000000</v>
      </c>
      <c r="U38" s="392">
        <f t="shared" si="10"/>
        <v>-7000</v>
      </c>
      <c r="V38" s="383">
        <f t="shared" si="11"/>
        <v>-2.7992162194585515E-4</v>
      </c>
      <c r="W38" s="397" t="s">
        <v>323</v>
      </c>
      <c r="X38" s="385">
        <v>25000000</v>
      </c>
      <c r="Y38" s="385">
        <f>X38</f>
        <v>25000000</v>
      </c>
    </row>
    <row r="39" spans="1:25" ht="30" customHeight="1" x14ac:dyDescent="0.3">
      <c r="A39" s="398" t="s">
        <v>0</v>
      </c>
      <c r="B39" s="399"/>
      <c r="C39" s="399"/>
      <c r="D39" s="354">
        <f t="shared" ref="D39:T39" si="12">D40</f>
        <v>83255000</v>
      </c>
      <c r="E39" s="355">
        <f t="shared" si="12"/>
        <v>80776000</v>
      </c>
      <c r="F39" s="355">
        <f t="shared" si="12"/>
        <v>47080000</v>
      </c>
      <c r="G39" s="355">
        <f t="shared" si="12"/>
        <v>83255000</v>
      </c>
      <c r="H39" s="355">
        <f t="shared" si="12"/>
        <v>46144000</v>
      </c>
      <c r="I39" s="308">
        <f t="shared" si="12"/>
        <v>47558000</v>
      </c>
      <c r="J39" s="308">
        <f t="shared" si="12"/>
        <v>47558000</v>
      </c>
      <c r="K39" s="308">
        <f t="shared" si="12"/>
        <v>47558000</v>
      </c>
      <c r="L39" s="308">
        <f t="shared" si="12"/>
        <v>47558000</v>
      </c>
      <c r="M39" s="308">
        <f t="shared" si="12"/>
        <v>53050000</v>
      </c>
      <c r="N39" s="308">
        <f t="shared" si="12"/>
        <v>46262000</v>
      </c>
      <c r="O39" s="308">
        <f t="shared" si="12"/>
        <v>34509000</v>
      </c>
      <c r="P39" s="308">
        <f t="shared" si="12"/>
        <v>24071000</v>
      </c>
      <c r="Q39" s="308">
        <f t="shared" si="12"/>
        <v>59757000</v>
      </c>
      <c r="R39" s="308">
        <f t="shared" si="12"/>
        <v>46188000</v>
      </c>
      <c r="S39" s="308">
        <f t="shared" si="12"/>
        <v>61188000</v>
      </c>
      <c r="T39" s="308">
        <f t="shared" si="12"/>
        <v>87000000</v>
      </c>
      <c r="U39" s="382">
        <f t="shared" si="10"/>
        <v>25812000</v>
      </c>
      <c r="V39" s="383">
        <f t="shared" si="11"/>
        <v>0.42184742106295353</v>
      </c>
      <c r="W39" s="311"/>
      <c r="X39" s="205"/>
      <c r="Y39" s="205"/>
    </row>
    <row r="40" spans="1:25" ht="30" customHeight="1" x14ac:dyDescent="0.3">
      <c r="A40" s="386"/>
      <c r="B40" s="387" t="s">
        <v>0</v>
      </c>
      <c r="C40" s="388"/>
      <c r="D40" s="315">
        <f t="shared" ref="D40:K40" si="13">SUM(D41:D45)</f>
        <v>83255000</v>
      </c>
      <c r="E40" s="316">
        <f t="shared" si="13"/>
        <v>80776000</v>
      </c>
      <c r="F40" s="316">
        <f t="shared" si="13"/>
        <v>47080000</v>
      </c>
      <c r="G40" s="316">
        <f t="shared" si="13"/>
        <v>83255000</v>
      </c>
      <c r="H40" s="316">
        <f t="shared" si="13"/>
        <v>46144000</v>
      </c>
      <c r="I40" s="317">
        <f t="shared" si="13"/>
        <v>47558000</v>
      </c>
      <c r="J40" s="317">
        <f t="shared" si="13"/>
        <v>47558000</v>
      </c>
      <c r="K40" s="317">
        <f t="shared" si="13"/>
        <v>47558000</v>
      </c>
      <c r="L40" s="317">
        <v>47558000</v>
      </c>
      <c r="M40" s="317">
        <f t="shared" ref="M40:R40" si="14">SUM(M41:M45)</f>
        <v>53050000</v>
      </c>
      <c r="N40" s="317">
        <f t="shared" si="14"/>
        <v>46262000</v>
      </c>
      <c r="O40" s="317">
        <f t="shared" si="14"/>
        <v>34509000</v>
      </c>
      <c r="P40" s="317">
        <f t="shared" si="14"/>
        <v>24071000</v>
      </c>
      <c r="Q40" s="317">
        <f t="shared" si="14"/>
        <v>59757000</v>
      </c>
      <c r="R40" s="317">
        <f t="shared" si="14"/>
        <v>46188000</v>
      </c>
      <c r="S40" s="317">
        <f>SUM(S41:S47)</f>
        <v>61188000</v>
      </c>
      <c r="T40" s="317">
        <f>SUM(T41:T47)</f>
        <v>87000000</v>
      </c>
      <c r="U40" s="382">
        <f t="shared" si="10"/>
        <v>25812000</v>
      </c>
      <c r="V40" s="383">
        <f t="shared" si="11"/>
        <v>0.42184742106295353</v>
      </c>
      <c r="W40" s="397"/>
      <c r="X40" s="385"/>
      <c r="Y40" s="385"/>
    </row>
    <row r="41" spans="1:25" ht="30" customHeight="1" x14ac:dyDescent="0.3">
      <c r="A41" s="400"/>
      <c r="B41" s="322"/>
      <c r="C41" s="323" t="s">
        <v>48</v>
      </c>
      <c r="D41" s="401">
        <v>72591000</v>
      </c>
      <c r="E41" s="402">
        <v>70112000</v>
      </c>
      <c r="F41" s="402">
        <v>36416000</v>
      </c>
      <c r="G41" s="402">
        <v>72591000</v>
      </c>
      <c r="H41" s="402">
        <v>35480000</v>
      </c>
      <c r="I41" s="402">
        <v>36550000</v>
      </c>
      <c r="J41" s="402">
        <v>36550000</v>
      </c>
      <c r="K41" s="402">
        <v>36550000</v>
      </c>
      <c r="L41" s="402">
        <v>36550000</v>
      </c>
      <c r="M41" s="402">
        <v>42042000</v>
      </c>
      <c r="N41" s="402">
        <v>38350000</v>
      </c>
      <c r="O41" s="402">
        <v>27684000</v>
      </c>
      <c r="P41" s="402">
        <v>22288000</v>
      </c>
      <c r="Q41" s="402">
        <v>51325000</v>
      </c>
      <c r="R41" s="402">
        <v>43688000</v>
      </c>
      <c r="S41" s="402">
        <v>43688000</v>
      </c>
      <c r="T41" s="402">
        <f>Y41</f>
        <v>50400000</v>
      </c>
      <c r="U41" s="403">
        <f>T41-S41</f>
        <v>6712000</v>
      </c>
      <c r="V41" s="404">
        <f>U41/S41</f>
        <v>0.15363486540926571</v>
      </c>
      <c r="W41" s="340" t="s">
        <v>337</v>
      </c>
      <c r="X41" s="332">
        <f>ROUNDUP(2500*65*237,-3)</f>
        <v>38513000</v>
      </c>
      <c r="Y41" s="332">
        <f>SUM(X41:X43)</f>
        <v>50400000</v>
      </c>
    </row>
    <row r="42" spans="1:25" ht="30" customHeight="1" x14ac:dyDescent="0.3">
      <c r="A42" s="400"/>
      <c r="B42" s="320"/>
      <c r="C42" s="320"/>
      <c r="D42" s="363"/>
      <c r="E42" s="364"/>
      <c r="F42" s="364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5"/>
      <c r="V42" s="366"/>
      <c r="W42" s="405" t="s">
        <v>447</v>
      </c>
      <c r="X42" s="336">
        <f>ROUNDDOWN(2500*15*237,-3)</f>
        <v>8887000</v>
      </c>
      <c r="Y42" s="336"/>
    </row>
    <row r="43" spans="1:25" ht="30" customHeight="1" x14ac:dyDescent="0.3">
      <c r="A43" s="400"/>
      <c r="B43" s="320"/>
      <c r="C43" s="320"/>
      <c r="D43" s="363"/>
      <c r="E43" s="364"/>
      <c r="F43" s="364"/>
      <c r="G43" s="364"/>
      <c r="H43" s="364"/>
      <c r="I43" s="364"/>
      <c r="J43" s="364"/>
      <c r="K43" s="364"/>
      <c r="L43" s="364"/>
      <c r="M43" s="364"/>
      <c r="N43" s="364"/>
      <c r="O43" s="364"/>
      <c r="P43" s="364"/>
      <c r="Q43" s="364"/>
      <c r="R43" s="364"/>
      <c r="S43" s="364"/>
      <c r="T43" s="364"/>
      <c r="U43" s="365"/>
      <c r="V43" s="366"/>
      <c r="W43" s="405" t="s">
        <v>376</v>
      </c>
      <c r="X43" s="336">
        <f>50000*12*5</f>
        <v>3000000</v>
      </c>
      <c r="Y43" s="336"/>
    </row>
    <row r="44" spans="1:25" ht="30" customHeight="1" x14ac:dyDescent="0.3">
      <c r="A44" s="400"/>
      <c r="B44" s="320"/>
      <c r="C44" s="345" t="s">
        <v>49</v>
      </c>
      <c r="D44" s="338">
        <v>10664000</v>
      </c>
      <c r="E44" s="339">
        <v>10664000</v>
      </c>
      <c r="F44" s="339">
        <v>10664000</v>
      </c>
      <c r="G44" s="339">
        <v>10664000</v>
      </c>
      <c r="H44" s="339">
        <v>10664000</v>
      </c>
      <c r="I44" s="339">
        <v>11008000</v>
      </c>
      <c r="J44" s="339">
        <v>11008000</v>
      </c>
      <c r="K44" s="339">
        <v>11008000</v>
      </c>
      <c r="L44" s="339">
        <v>11008000</v>
      </c>
      <c r="M44" s="339">
        <v>11008000</v>
      </c>
      <c r="N44" s="339">
        <v>7912000</v>
      </c>
      <c r="O44" s="339">
        <v>6825000</v>
      </c>
      <c r="P44" s="339">
        <v>1783000</v>
      </c>
      <c r="Q44" s="339">
        <v>8432000</v>
      </c>
      <c r="R44" s="339">
        <v>2500000</v>
      </c>
      <c r="S44" s="339">
        <v>2500000</v>
      </c>
      <c r="T44" s="339">
        <f>Y44</f>
        <v>2400000</v>
      </c>
      <c r="U44" s="329">
        <f>T44-S44</f>
        <v>-100000</v>
      </c>
      <c r="V44" s="344">
        <f>U44/S44</f>
        <v>-0.04</v>
      </c>
      <c r="W44" s="340" t="s">
        <v>392</v>
      </c>
      <c r="X44" s="332">
        <f>2000*20*48</f>
        <v>1920000</v>
      </c>
      <c r="Y44" s="332">
        <f>SUM(X44:X45)</f>
        <v>2400000</v>
      </c>
    </row>
    <row r="45" spans="1:25" ht="30" customHeight="1" x14ac:dyDescent="0.3">
      <c r="A45" s="400"/>
      <c r="B45" s="320"/>
      <c r="C45" s="321"/>
      <c r="D45" s="324"/>
      <c r="E45" s="317"/>
      <c r="F45" s="317"/>
      <c r="G45" s="317"/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7"/>
      <c r="T45" s="317"/>
      <c r="U45" s="325"/>
      <c r="V45" s="310"/>
      <c r="W45" s="342" t="s">
        <v>393</v>
      </c>
      <c r="X45" s="205">
        <f>1000*10*48</f>
        <v>480000</v>
      </c>
      <c r="Y45" s="205"/>
    </row>
    <row r="46" spans="1:25" ht="30" customHeight="1" x14ac:dyDescent="0.3">
      <c r="A46" s="400"/>
      <c r="B46" s="320"/>
      <c r="C46" s="321" t="s">
        <v>469</v>
      </c>
      <c r="D46" s="324"/>
      <c r="E46" s="317"/>
      <c r="F46" s="317"/>
      <c r="G46" s="317"/>
      <c r="H46" s="317"/>
      <c r="I46" s="317"/>
      <c r="J46" s="317"/>
      <c r="K46" s="317"/>
      <c r="L46" s="317"/>
      <c r="M46" s="317"/>
      <c r="N46" s="317"/>
      <c r="O46" s="317"/>
      <c r="P46" s="317"/>
      <c r="Q46" s="317"/>
      <c r="R46" s="317"/>
      <c r="S46" s="317">
        <v>15000000</v>
      </c>
      <c r="T46" s="317">
        <f>Y46</f>
        <v>27000000</v>
      </c>
      <c r="U46" s="349">
        <f t="shared" ref="U46:U53" si="15">T46-S46</f>
        <v>12000000</v>
      </c>
      <c r="V46" s="350">
        <f>U46/S46</f>
        <v>0.8</v>
      </c>
      <c r="W46" s="342" t="s">
        <v>469</v>
      </c>
      <c r="X46" s="205">
        <f>27000000</f>
        <v>27000000</v>
      </c>
      <c r="Y46" s="205">
        <f>X46</f>
        <v>27000000</v>
      </c>
    </row>
    <row r="47" spans="1:25" ht="30" customHeight="1" x14ac:dyDescent="0.3">
      <c r="A47" s="400"/>
      <c r="B47" s="320"/>
      <c r="C47" s="321" t="s">
        <v>489</v>
      </c>
      <c r="D47" s="324"/>
      <c r="E47" s="317"/>
      <c r="F47" s="317"/>
      <c r="G47" s="317"/>
      <c r="H47" s="317"/>
      <c r="I47" s="317"/>
      <c r="J47" s="317"/>
      <c r="K47" s="317"/>
      <c r="L47" s="317"/>
      <c r="M47" s="317"/>
      <c r="N47" s="317"/>
      <c r="O47" s="317"/>
      <c r="P47" s="317"/>
      <c r="Q47" s="317"/>
      <c r="R47" s="317"/>
      <c r="S47" s="317">
        <v>0</v>
      </c>
      <c r="T47" s="317">
        <f>Y47</f>
        <v>7200000</v>
      </c>
      <c r="U47" s="349">
        <f t="shared" si="15"/>
        <v>7200000</v>
      </c>
      <c r="V47" s="350">
        <v>0</v>
      </c>
      <c r="W47" s="342" t="s">
        <v>506</v>
      </c>
      <c r="X47" s="205">
        <f>80000*90</f>
        <v>7200000</v>
      </c>
      <c r="Y47" s="205">
        <f>X47</f>
        <v>7200000</v>
      </c>
    </row>
    <row r="48" spans="1:25" ht="30" customHeight="1" x14ac:dyDescent="0.3">
      <c r="A48" s="406" t="s">
        <v>53</v>
      </c>
      <c r="B48" s="387"/>
      <c r="C48" s="388"/>
      <c r="D48" s="354">
        <f t="shared" ref="D48:T48" si="16">D49</f>
        <v>3960000</v>
      </c>
      <c r="E48" s="355">
        <f t="shared" si="16"/>
        <v>8000000</v>
      </c>
      <c r="F48" s="355">
        <f t="shared" si="16"/>
        <v>28878000</v>
      </c>
      <c r="G48" s="355">
        <f t="shared" si="16"/>
        <v>3960000</v>
      </c>
      <c r="H48" s="355">
        <f t="shared" si="16"/>
        <v>28878000</v>
      </c>
      <c r="I48" s="308">
        <f t="shared" si="16"/>
        <v>18392000</v>
      </c>
      <c r="J48" s="308">
        <f t="shared" si="16"/>
        <v>15000000</v>
      </c>
      <c r="K48" s="308">
        <f t="shared" si="16"/>
        <v>35000000</v>
      </c>
      <c r="L48" s="308">
        <f t="shared" si="16"/>
        <v>23976000</v>
      </c>
      <c r="M48" s="308">
        <f t="shared" si="16"/>
        <v>30000000</v>
      </c>
      <c r="N48" s="308">
        <f t="shared" si="16"/>
        <v>54550000</v>
      </c>
      <c r="O48" s="308">
        <f t="shared" si="16"/>
        <v>54550000</v>
      </c>
      <c r="P48" s="308">
        <f t="shared" si="16"/>
        <v>54550000</v>
      </c>
      <c r="Q48" s="308">
        <f t="shared" si="16"/>
        <v>30000000</v>
      </c>
      <c r="R48" s="308">
        <f t="shared" si="16"/>
        <v>32371000</v>
      </c>
      <c r="S48" s="308">
        <f t="shared" si="16"/>
        <v>75066000</v>
      </c>
      <c r="T48" s="308">
        <f t="shared" si="16"/>
        <v>42000000</v>
      </c>
      <c r="U48" s="309">
        <f t="shared" si="15"/>
        <v>-33066000</v>
      </c>
      <c r="V48" s="310">
        <f>U48/S48</f>
        <v>-0.44049236671728881</v>
      </c>
      <c r="W48" s="342"/>
      <c r="X48" s="205"/>
      <c r="Y48" s="205"/>
    </row>
    <row r="49" spans="1:25" ht="30" customHeight="1" x14ac:dyDescent="0.3">
      <c r="A49" s="407"/>
      <c r="B49" s="313" t="s">
        <v>53</v>
      </c>
      <c r="C49" s="314"/>
      <c r="D49" s="315">
        <f t="shared" ref="D49:T49" si="17">SUM(D50:D52)</f>
        <v>3960000</v>
      </c>
      <c r="E49" s="316">
        <f t="shared" si="17"/>
        <v>8000000</v>
      </c>
      <c r="F49" s="316">
        <f t="shared" si="17"/>
        <v>28878000</v>
      </c>
      <c r="G49" s="316">
        <f t="shared" si="17"/>
        <v>3960000</v>
      </c>
      <c r="H49" s="316">
        <f t="shared" si="17"/>
        <v>28878000</v>
      </c>
      <c r="I49" s="317">
        <f t="shared" si="17"/>
        <v>18392000</v>
      </c>
      <c r="J49" s="317">
        <f t="shared" si="17"/>
        <v>15000000</v>
      </c>
      <c r="K49" s="317">
        <f t="shared" si="17"/>
        <v>35000000</v>
      </c>
      <c r="L49" s="317">
        <f t="shared" si="17"/>
        <v>23976000</v>
      </c>
      <c r="M49" s="317">
        <f t="shared" si="17"/>
        <v>30000000</v>
      </c>
      <c r="N49" s="317">
        <f t="shared" si="17"/>
        <v>54550000</v>
      </c>
      <c r="O49" s="317">
        <f t="shared" si="17"/>
        <v>54550000</v>
      </c>
      <c r="P49" s="317">
        <f t="shared" si="17"/>
        <v>54550000</v>
      </c>
      <c r="Q49" s="317">
        <f t="shared" si="17"/>
        <v>30000000</v>
      </c>
      <c r="R49" s="317">
        <f t="shared" si="17"/>
        <v>32371000</v>
      </c>
      <c r="S49" s="317">
        <f t="shared" si="17"/>
        <v>75066000</v>
      </c>
      <c r="T49" s="317">
        <f t="shared" si="17"/>
        <v>42000000</v>
      </c>
      <c r="U49" s="325">
        <f t="shared" si="15"/>
        <v>-33066000</v>
      </c>
      <c r="V49" s="310">
        <f>U49/S49</f>
        <v>-0.44049236671728881</v>
      </c>
      <c r="W49" s="311"/>
      <c r="X49" s="205"/>
      <c r="Y49" s="205"/>
    </row>
    <row r="50" spans="1:25" ht="30" customHeight="1" x14ac:dyDescent="0.3">
      <c r="A50" s="407"/>
      <c r="B50" s="323"/>
      <c r="C50" s="345" t="s">
        <v>55</v>
      </c>
      <c r="D50" s="408">
        <v>2247000</v>
      </c>
      <c r="E50" s="409">
        <v>8000000</v>
      </c>
      <c r="F50" s="409">
        <v>10124000</v>
      </c>
      <c r="G50" s="409">
        <v>2247000</v>
      </c>
      <c r="H50" s="409">
        <v>10124000</v>
      </c>
      <c r="I50" s="339">
        <v>6107000</v>
      </c>
      <c r="J50" s="339">
        <v>5000000</v>
      </c>
      <c r="K50" s="339">
        <f>X50</f>
        <v>10000000</v>
      </c>
      <c r="L50" s="339">
        <v>7824000</v>
      </c>
      <c r="M50" s="339">
        <v>10000000</v>
      </c>
      <c r="N50" s="339">
        <v>28249000</v>
      </c>
      <c r="O50" s="339">
        <v>28249000</v>
      </c>
      <c r="P50" s="339">
        <v>28249000</v>
      </c>
      <c r="Q50" s="339">
        <v>20000000</v>
      </c>
      <c r="R50" s="339">
        <v>19939000</v>
      </c>
      <c r="S50" s="339">
        <v>62634000</v>
      </c>
      <c r="T50" s="339">
        <f>SUM(Y50:Y51)</f>
        <v>17000000</v>
      </c>
      <c r="U50" s="329">
        <f t="shared" si="15"/>
        <v>-45634000</v>
      </c>
      <c r="V50" s="344">
        <f>U50/S50</f>
        <v>-0.72858192036274227</v>
      </c>
      <c r="W50" s="331" t="s">
        <v>331</v>
      </c>
      <c r="X50" s="332">
        <v>10000000</v>
      </c>
      <c r="Y50" s="332">
        <f>X50</f>
        <v>10000000</v>
      </c>
    </row>
    <row r="51" spans="1:25" ht="30" customHeight="1" x14ac:dyDescent="0.3">
      <c r="A51" s="407"/>
      <c r="B51" s="322"/>
      <c r="C51" s="320"/>
      <c r="D51" s="410"/>
      <c r="E51" s="411"/>
      <c r="F51" s="411"/>
      <c r="G51" s="411"/>
      <c r="H51" s="411"/>
      <c r="I51" s="328"/>
      <c r="J51" s="328"/>
      <c r="K51" s="328"/>
      <c r="L51" s="328"/>
      <c r="M51" s="328"/>
      <c r="N51" s="328"/>
      <c r="O51" s="328"/>
      <c r="P51" s="328"/>
      <c r="Q51" s="328"/>
      <c r="R51" s="328"/>
      <c r="S51" s="317"/>
      <c r="T51" s="317"/>
      <c r="U51" s="325"/>
      <c r="V51" s="310"/>
      <c r="W51" s="311" t="s">
        <v>614</v>
      </c>
      <c r="X51" s="205">
        <v>7000000</v>
      </c>
      <c r="Y51" s="205">
        <f>X51</f>
        <v>7000000</v>
      </c>
    </row>
    <row r="52" spans="1:25" ht="30" customHeight="1" x14ac:dyDescent="0.3">
      <c r="A52" s="412"/>
      <c r="B52" s="348"/>
      <c r="C52" s="321" t="s">
        <v>57</v>
      </c>
      <c r="D52" s="315">
        <v>1713000</v>
      </c>
      <c r="E52" s="316">
        <v>0</v>
      </c>
      <c r="F52" s="316">
        <v>18754000</v>
      </c>
      <c r="G52" s="316">
        <v>1713000</v>
      </c>
      <c r="H52" s="316">
        <v>18754000</v>
      </c>
      <c r="I52" s="317">
        <v>12285000</v>
      </c>
      <c r="J52" s="317">
        <v>10000000</v>
      </c>
      <c r="K52" s="317">
        <f>X52</f>
        <v>25000000</v>
      </c>
      <c r="L52" s="317">
        <v>16152000</v>
      </c>
      <c r="M52" s="317">
        <v>20000000</v>
      </c>
      <c r="N52" s="317">
        <v>26301000</v>
      </c>
      <c r="O52" s="317">
        <v>26301000</v>
      </c>
      <c r="P52" s="317">
        <v>26301000</v>
      </c>
      <c r="Q52" s="317">
        <v>10000000</v>
      </c>
      <c r="R52" s="317">
        <v>12432000</v>
      </c>
      <c r="S52" s="317">
        <v>12432000</v>
      </c>
      <c r="T52" s="317">
        <f>Y52</f>
        <v>25000000</v>
      </c>
      <c r="U52" s="325">
        <f t="shared" si="15"/>
        <v>12568000</v>
      </c>
      <c r="V52" s="310">
        <f>U52/S52</f>
        <v>1.010939510939511</v>
      </c>
      <c r="W52" s="311" t="s">
        <v>80</v>
      </c>
      <c r="X52" s="205">
        <v>25000000</v>
      </c>
      <c r="Y52" s="205">
        <f>X52</f>
        <v>25000000</v>
      </c>
    </row>
    <row r="53" spans="1:25" ht="30" customHeight="1" x14ac:dyDescent="0.3">
      <c r="A53" s="406" t="s">
        <v>58</v>
      </c>
      <c r="B53" s="387"/>
      <c r="C53" s="388"/>
      <c r="D53" s="354">
        <f t="shared" ref="D53:T53" si="18">D54</f>
        <v>7448000</v>
      </c>
      <c r="E53" s="355">
        <f t="shared" si="18"/>
        <v>4220000</v>
      </c>
      <c r="F53" s="355">
        <f t="shared" si="18"/>
        <v>8220000</v>
      </c>
      <c r="G53" s="355">
        <f t="shared" si="18"/>
        <v>7448000</v>
      </c>
      <c r="H53" s="355">
        <f t="shared" si="18"/>
        <v>6140000</v>
      </c>
      <c r="I53" s="308">
        <f t="shared" si="18"/>
        <v>5180000</v>
      </c>
      <c r="J53" s="308">
        <f t="shared" si="18"/>
        <v>5180000</v>
      </c>
      <c r="K53" s="308">
        <f t="shared" si="18"/>
        <v>5240000</v>
      </c>
      <c r="L53" s="308">
        <f t="shared" si="18"/>
        <v>7444000</v>
      </c>
      <c r="M53" s="308">
        <f t="shared" si="18"/>
        <v>7000000</v>
      </c>
      <c r="N53" s="308">
        <f t="shared" si="18"/>
        <v>6940000</v>
      </c>
      <c r="O53" s="308">
        <f t="shared" si="18"/>
        <v>4064000</v>
      </c>
      <c r="P53" s="308">
        <f t="shared" si="18"/>
        <v>4064000</v>
      </c>
      <c r="Q53" s="308">
        <f t="shared" si="18"/>
        <v>4800000</v>
      </c>
      <c r="R53" s="308">
        <f t="shared" si="18"/>
        <v>4800000</v>
      </c>
      <c r="S53" s="308">
        <f t="shared" si="18"/>
        <v>44970000</v>
      </c>
      <c r="T53" s="308">
        <f t="shared" si="18"/>
        <v>6300000</v>
      </c>
      <c r="U53" s="309">
        <f t="shared" si="15"/>
        <v>-38670000</v>
      </c>
      <c r="V53" s="310">
        <f>U53/S53</f>
        <v>-0.85990660440293532</v>
      </c>
      <c r="W53" s="397"/>
      <c r="X53" s="385"/>
      <c r="Y53" s="385"/>
    </row>
    <row r="54" spans="1:25" ht="30" customHeight="1" x14ac:dyDescent="0.3">
      <c r="A54" s="407"/>
      <c r="B54" s="387" t="s">
        <v>58</v>
      </c>
      <c r="C54" s="388"/>
      <c r="D54" s="315">
        <f t="shared" ref="D54:S54" si="19">SUM(D55:D56)</f>
        <v>7448000</v>
      </c>
      <c r="E54" s="316">
        <f t="shared" si="19"/>
        <v>4220000</v>
      </c>
      <c r="F54" s="316">
        <f t="shared" si="19"/>
        <v>8220000</v>
      </c>
      <c r="G54" s="316">
        <f t="shared" si="19"/>
        <v>7448000</v>
      </c>
      <c r="H54" s="316">
        <f t="shared" si="19"/>
        <v>6140000</v>
      </c>
      <c r="I54" s="317">
        <f t="shared" si="19"/>
        <v>5180000</v>
      </c>
      <c r="J54" s="317">
        <f t="shared" si="19"/>
        <v>5180000</v>
      </c>
      <c r="K54" s="317">
        <f t="shared" si="19"/>
        <v>5240000</v>
      </c>
      <c r="L54" s="317">
        <f t="shared" si="19"/>
        <v>7444000</v>
      </c>
      <c r="M54" s="317">
        <f t="shared" si="19"/>
        <v>7000000</v>
      </c>
      <c r="N54" s="317">
        <f t="shared" si="19"/>
        <v>6940000</v>
      </c>
      <c r="O54" s="317">
        <f t="shared" si="19"/>
        <v>4064000</v>
      </c>
      <c r="P54" s="317">
        <f t="shared" si="19"/>
        <v>4064000</v>
      </c>
      <c r="Q54" s="317">
        <f t="shared" ref="Q54:R54" si="20">SUM(Q55:Q56)</f>
        <v>4800000</v>
      </c>
      <c r="R54" s="317">
        <f t="shared" si="20"/>
        <v>4800000</v>
      </c>
      <c r="S54" s="317">
        <f t="shared" si="19"/>
        <v>44970000</v>
      </c>
      <c r="T54" s="317">
        <f t="shared" ref="T54" si="21">SUM(T55:T56)</f>
        <v>6300000</v>
      </c>
      <c r="U54" s="325">
        <f t="shared" ref="U54:U55" si="22">T54-S54</f>
        <v>-38670000</v>
      </c>
      <c r="V54" s="310">
        <f t="shared" ref="V54:V55" si="23">U54/S54</f>
        <v>-0.85990660440293532</v>
      </c>
      <c r="W54" s="397"/>
      <c r="X54" s="385"/>
      <c r="Y54" s="385"/>
    </row>
    <row r="55" spans="1:25" ht="30" customHeight="1" x14ac:dyDescent="0.3">
      <c r="A55" s="407"/>
      <c r="B55" s="322"/>
      <c r="C55" s="321" t="s">
        <v>60</v>
      </c>
      <c r="D55" s="408">
        <v>40000</v>
      </c>
      <c r="E55" s="409">
        <v>40000</v>
      </c>
      <c r="F55" s="409">
        <v>40000</v>
      </c>
      <c r="G55" s="409">
        <v>40000</v>
      </c>
      <c r="H55" s="409">
        <v>200000</v>
      </c>
      <c r="I55" s="328">
        <v>40000</v>
      </c>
      <c r="J55" s="328">
        <v>40000</v>
      </c>
      <c r="K55" s="328">
        <f>X55</f>
        <v>100000</v>
      </c>
      <c r="L55" s="328">
        <v>40000</v>
      </c>
      <c r="M55" s="328">
        <v>40000</v>
      </c>
      <c r="N55" s="328">
        <v>40000</v>
      </c>
      <c r="O55" s="328">
        <v>114000</v>
      </c>
      <c r="P55" s="328">
        <v>114000</v>
      </c>
      <c r="Q55" s="328">
        <v>0</v>
      </c>
      <c r="R55" s="328">
        <v>0</v>
      </c>
      <c r="S55" s="328">
        <v>600000</v>
      </c>
      <c r="T55" s="328">
        <f>Y55</f>
        <v>100000</v>
      </c>
      <c r="U55" s="325">
        <f t="shared" si="22"/>
        <v>-500000</v>
      </c>
      <c r="V55" s="310">
        <f t="shared" si="23"/>
        <v>-0.83333333333333337</v>
      </c>
      <c r="W55" s="331" t="s">
        <v>332</v>
      </c>
      <c r="X55" s="332">
        <v>100000</v>
      </c>
      <c r="Y55" s="332">
        <f>X55</f>
        <v>100000</v>
      </c>
    </row>
    <row r="56" spans="1:25" ht="30" customHeight="1" x14ac:dyDescent="0.3">
      <c r="A56" s="407"/>
      <c r="B56" s="322"/>
      <c r="C56" s="345" t="s">
        <v>3</v>
      </c>
      <c r="D56" s="338">
        <v>7408000</v>
      </c>
      <c r="E56" s="339">
        <v>4180000</v>
      </c>
      <c r="F56" s="339">
        <v>8180000</v>
      </c>
      <c r="G56" s="339">
        <v>7408000</v>
      </c>
      <c r="H56" s="339">
        <v>5940000</v>
      </c>
      <c r="I56" s="339">
        <v>5140000</v>
      </c>
      <c r="J56" s="339">
        <v>5140000</v>
      </c>
      <c r="K56" s="339">
        <v>5140000</v>
      </c>
      <c r="L56" s="339">
        <v>7404000</v>
      </c>
      <c r="M56" s="339">
        <v>6960000</v>
      </c>
      <c r="N56" s="339">
        <v>6900000</v>
      </c>
      <c r="O56" s="339">
        <v>3950000</v>
      </c>
      <c r="P56" s="339">
        <v>3950000</v>
      </c>
      <c r="Q56" s="339">
        <v>4800000</v>
      </c>
      <c r="R56" s="339">
        <v>4800000</v>
      </c>
      <c r="S56" s="339">
        <v>44370000</v>
      </c>
      <c r="T56" s="339">
        <f>SUM(X56:X58)</f>
        <v>6200000</v>
      </c>
      <c r="U56" s="329">
        <f>T56-S56</f>
        <v>-38170000</v>
      </c>
      <c r="V56" s="344">
        <f>U56/S56</f>
        <v>-0.86026594545864321</v>
      </c>
      <c r="W56" s="331" t="s">
        <v>394</v>
      </c>
      <c r="X56" s="332">
        <f>50000*20</f>
        <v>1000000</v>
      </c>
      <c r="Y56" s="332">
        <f>SUM(X56:X58)</f>
        <v>6200000</v>
      </c>
    </row>
    <row r="57" spans="1:25" ht="30" customHeight="1" x14ac:dyDescent="0.3">
      <c r="A57" s="407"/>
      <c r="B57" s="322"/>
      <c r="C57" s="320"/>
      <c r="D57" s="327"/>
      <c r="E57" s="328"/>
      <c r="F57" s="328"/>
      <c r="G57" s="328"/>
      <c r="H57" s="328"/>
      <c r="I57" s="328"/>
      <c r="J57" s="328"/>
      <c r="K57" s="328"/>
      <c r="L57" s="328"/>
      <c r="M57" s="328"/>
      <c r="N57" s="328"/>
      <c r="O57" s="328"/>
      <c r="P57" s="328"/>
      <c r="Q57" s="328"/>
      <c r="R57" s="328"/>
      <c r="S57" s="328"/>
      <c r="T57" s="328"/>
      <c r="U57" s="413"/>
      <c r="V57" s="334"/>
      <c r="W57" s="311" t="s">
        <v>490</v>
      </c>
      <c r="X57" s="205">
        <v>400000</v>
      </c>
      <c r="Y57" s="205"/>
    </row>
    <row r="58" spans="1:25" ht="30" customHeight="1" x14ac:dyDescent="0.3">
      <c r="A58" s="412"/>
      <c r="B58" s="348"/>
      <c r="C58" s="321"/>
      <c r="D58" s="324"/>
      <c r="E58" s="317"/>
      <c r="F58" s="317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25"/>
      <c r="V58" s="414"/>
      <c r="W58" s="311" t="s">
        <v>508</v>
      </c>
      <c r="X58" s="205">
        <f>800000*6</f>
        <v>4800000</v>
      </c>
      <c r="Y58" s="205"/>
    </row>
    <row r="59" spans="1:25" ht="16.5" x14ac:dyDescent="0.3">
      <c r="A59" s="415"/>
      <c r="B59" s="415"/>
      <c r="C59" s="415"/>
      <c r="D59" s="415"/>
      <c r="E59" s="416"/>
      <c r="F59" s="416"/>
      <c r="G59" s="416"/>
      <c r="H59" s="416"/>
      <c r="I59" s="416"/>
      <c r="J59" s="416"/>
      <c r="K59" s="416"/>
      <c r="L59" s="416"/>
      <c r="M59" s="416"/>
      <c r="N59" s="416"/>
      <c r="O59" s="416"/>
      <c r="P59" s="416"/>
      <c r="Q59" s="416"/>
      <c r="R59" s="416"/>
      <c r="S59" s="416"/>
      <c r="T59" s="416"/>
      <c r="U59" s="416"/>
      <c r="V59" s="416"/>
      <c r="W59" s="415"/>
      <c r="X59" s="417"/>
      <c r="Y59" s="417"/>
    </row>
    <row r="60" spans="1:25" ht="16.5" x14ac:dyDescent="0.3">
      <c r="X60" s="25"/>
      <c r="Y60" s="25"/>
    </row>
    <row r="61" spans="1:25" ht="16.5" x14ac:dyDescent="0.3">
      <c r="X61" s="25"/>
      <c r="Y61" s="25"/>
    </row>
    <row r="62" spans="1:25" ht="16.5" x14ac:dyDescent="0.3">
      <c r="X62" s="25"/>
      <c r="Y62" s="25"/>
    </row>
    <row r="63" spans="1:25" x14ac:dyDescent="0.3">
      <c r="X63" s="26"/>
      <c r="Y63" s="26"/>
    </row>
    <row r="64" spans="1:25" x14ac:dyDescent="0.3">
      <c r="X64" s="26"/>
      <c r="Y64" s="26"/>
    </row>
    <row r="65" spans="1:26" x14ac:dyDescent="0.3">
      <c r="X65" s="26"/>
      <c r="Y65" s="26"/>
    </row>
    <row r="66" spans="1:26" x14ac:dyDescent="0.3">
      <c r="X66" s="26"/>
      <c r="Y66" s="26"/>
    </row>
    <row r="67" spans="1:26" x14ac:dyDescent="0.3">
      <c r="X67" s="26"/>
      <c r="Y67" s="26"/>
    </row>
    <row r="68" spans="1:26" s="2" customFormat="1" x14ac:dyDescent="0.3">
      <c r="A68" s="1"/>
      <c r="B68" s="1"/>
      <c r="C68" s="1"/>
      <c r="D68" s="1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7"/>
      <c r="Z68" s="1"/>
    </row>
  </sheetData>
  <mergeCells count="21">
    <mergeCell ref="A48:C48"/>
    <mergeCell ref="B49:C49"/>
    <mergeCell ref="A53:C53"/>
    <mergeCell ref="B54:C54"/>
    <mergeCell ref="A29:C29"/>
    <mergeCell ref="B30:C30"/>
    <mergeCell ref="A36:C36"/>
    <mergeCell ref="B37:C37"/>
    <mergeCell ref="A39:C39"/>
    <mergeCell ref="B40:C40"/>
    <mergeCell ref="A1:Y1"/>
    <mergeCell ref="A5:C5"/>
    <mergeCell ref="A6:C6"/>
    <mergeCell ref="B7:C7"/>
    <mergeCell ref="A3:A4"/>
    <mergeCell ref="B3:B4"/>
    <mergeCell ref="C3:C4"/>
    <mergeCell ref="S3:S4"/>
    <mergeCell ref="T3:T4"/>
    <mergeCell ref="U3:V3"/>
    <mergeCell ref="W3:Y4"/>
  </mergeCells>
  <phoneticPr fontId="2" type="noConversion"/>
  <pageMargins left="0.43307086614173229" right="0.27559055118110237" top="0.47244094488188981" bottom="0.23622047244094491" header="7.874015748031496E-2" footer="0"/>
  <pageSetup paperSize="9" scale="67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BB37B-FAAE-4BC6-8FCD-5DFAB5C13485}">
  <sheetPr>
    <pageSetUpPr fitToPage="1"/>
  </sheetPr>
  <dimension ref="A1:AA284"/>
  <sheetViews>
    <sheetView zoomScaleNormal="100" workbookViewId="0">
      <selection activeCell="AA8" sqref="AA8"/>
    </sheetView>
  </sheetViews>
  <sheetFormatPr defaultRowHeight="13.5" x14ac:dyDescent="0.3"/>
  <cols>
    <col min="1" max="1" width="10.75" style="34" customWidth="1"/>
    <col min="2" max="2" width="12.5" style="34" customWidth="1"/>
    <col min="3" max="3" width="20.625" style="34" bestFit="1" customWidth="1"/>
    <col min="4" max="4" width="11.625" style="34" hidden="1" customWidth="1"/>
    <col min="5" max="7" width="12" style="35" hidden="1" customWidth="1"/>
    <col min="8" max="8" width="10.5" style="35" hidden="1" customWidth="1"/>
    <col min="9" max="10" width="0.125" style="35" hidden="1" customWidth="1"/>
    <col min="11" max="11" width="11.625" style="35" hidden="1" customWidth="1"/>
    <col min="12" max="12" width="0.125" style="35" hidden="1" customWidth="1"/>
    <col min="13" max="14" width="9" style="35" hidden="1" customWidth="1"/>
    <col min="15" max="15" width="10.25" style="35" hidden="1" customWidth="1"/>
    <col min="16" max="18" width="10.125" style="35" hidden="1" customWidth="1"/>
    <col min="19" max="20" width="11.25" style="35" bestFit="1" customWidth="1"/>
    <col min="21" max="21" width="12.5" style="35" bestFit="1" customWidth="1"/>
    <col min="22" max="22" width="10.75" style="35" customWidth="1"/>
    <col min="23" max="23" width="20.875" style="36" customWidth="1"/>
    <col min="24" max="24" width="20.375" style="37" bestFit="1" customWidth="1"/>
    <col min="25" max="25" width="51" style="34" bestFit="1" customWidth="1"/>
    <col min="26" max="26" width="16.75" style="38" bestFit="1" customWidth="1"/>
    <col min="27" max="27" width="15.125" style="1" customWidth="1"/>
    <col min="28" max="16384" width="9" style="1"/>
  </cols>
  <sheetData>
    <row r="1" spans="1:26" ht="48" customHeight="1" x14ac:dyDescent="0.3">
      <c r="A1" s="285" t="s">
        <v>453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</row>
    <row r="2" spans="1:26" ht="27" customHeight="1" thickBot="1" x14ac:dyDescent="0.35">
      <c r="A2" s="28"/>
      <c r="B2" s="28"/>
      <c r="C2" s="28"/>
      <c r="D2" s="2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30"/>
      <c r="X2" s="31"/>
      <c r="Y2" s="28"/>
      <c r="Z2" s="43" t="s">
        <v>81</v>
      </c>
    </row>
    <row r="3" spans="1:26" ht="23.25" customHeight="1" thickBot="1" x14ac:dyDescent="0.35">
      <c r="A3" s="286" t="s">
        <v>7</v>
      </c>
      <c r="B3" s="279" t="s">
        <v>8</v>
      </c>
      <c r="C3" s="287" t="s">
        <v>9</v>
      </c>
      <c r="D3" s="418" t="s">
        <v>73</v>
      </c>
      <c r="E3" s="419" t="s">
        <v>74</v>
      </c>
      <c r="F3" s="419" t="s">
        <v>10</v>
      </c>
      <c r="G3" s="419" t="s">
        <v>73</v>
      </c>
      <c r="H3" s="419" t="s">
        <v>74</v>
      </c>
      <c r="I3" s="419" t="s">
        <v>75</v>
      </c>
      <c r="J3" s="419" t="s">
        <v>11</v>
      </c>
      <c r="K3" s="419" t="s">
        <v>10</v>
      </c>
      <c r="L3" s="420" t="s">
        <v>76</v>
      </c>
      <c r="M3" s="419" t="s">
        <v>77</v>
      </c>
      <c r="N3" s="419" t="s">
        <v>386</v>
      </c>
      <c r="O3" s="419" t="s">
        <v>387</v>
      </c>
      <c r="P3" s="419" t="s">
        <v>12</v>
      </c>
      <c r="Q3" s="419" t="s">
        <v>13</v>
      </c>
      <c r="R3" s="419" t="s">
        <v>327</v>
      </c>
      <c r="S3" s="421" t="s">
        <v>383</v>
      </c>
      <c r="T3" s="421" t="s">
        <v>385</v>
      </c>
      <c r="U3" s="271" t="s">
        <v>377</v>
      </c>
      <c r="V3" s="272"/>
      <c r="W3" s="279" t="s">
        <v>82</v>
      </c>
      <c r="X3" s="280"/>
      <c r="Y3" s="280"/>
      <c r="Z3" s="281"/>
    </row>
    <row r="4" spans="1:26" ht="23.25" customHeight="1" thickTop="1" thickBot="1" x14ac:dyDescent="0.35">
      <c r="A4" s="289"/>
      <c r="B4" s="282"/>
      <c r="C4" s="290"/>
      <c r="D4" s="422"/>
      <c r="E4" s="423"/>
      <c r="F4" s="423"/>
      <c r="G4" s="423"/>
      <c r="H4" s="423"/>
      <c r="I4" s="423"/>
      <c r="J4" s="423"/>
      <c r="K4" s="423"/>
      <c r="L4" s="424"/>
      <c r="M4" s="423"/>
      <c r="N4" s="423"/>
      <c r="O4" s="423"/>
      <c r="P4" s="423"/>
      <c r="Q4" s="423"/>
      <c r="R4" s="423"/>
      <c r="S4" s="425"/>
      <c r="T4" s="425"/>
      <c r="U4" s="203" t="s">
        <v>378</v>
      </c>
      <c r="V4" s="204" t="s">
        <v>379</v>
      </c>
      <c r="W4" s="282"/>
      <c r="X4" s="283"/>
      <c r="Y4" s="283"/>
      <c r="Z4" s="284"/>
    </row>
    <row r="5" spans="1:26" s="32" customFormat="1" ht="23.25" customHeight="1" thickTop="1" x14ac:dyDescent="0.3">
      <c r="A5" s="426" t="s">
        <v>14</v>
      </c>
      <c r="B5" s="427"/>
      <c r="C5" s="427"/>
      <c r="D5" s="428">
        <f t="shared" ref="D5:T5" si="0">D6+D115+D127+D276+D279</f>
        <v>543731000</v>
      </c>
      <c r="E5" s="429">
        <f t="shared" si="0"/>
        <v>542413000</v>
      </c>
      <c r="F5" s="429" t="e">
        <f t="shared" si="0"/>
        <v>#REF!</v>
      </c>
      <c r="G5" s="429">
        <f t="shared" si="0"/>
        <v>543731000</v>
      </c>
      <c r="H5" s="429" t="e">
        <f t="shared" si="0"/>
        <v>#REF!</v>
      </c>
      <c r="I5" s="429">
        <f t="shared" si="0"/>
        <v>623430000</v>
      </c>
      <c r="J5" s="429">
        <f t="shared" si="0"/>
        <v>621158000</v>
      </c>
      <c r="K5" s="429">
        <f t="shared" si="0"/>
        <v>697334000</v>
      </c>
      <c r="L5" s="429">
        <f t="shared" si="0"/>
        <v>693998000</v>
      </c>
      <c r="M5" s="429">
        <f t="shared" si="0"/>
        <v>730626000</v>
      </c>
      <c r="N5" s="429">
        <f t="shared" si="0"/>
        <v>748228000</v>
      </c>
      <c r="O5" s="429">
        <f t="shared" si="0"/>
        <v>707899000</v>
      </c>
      <c r="P5" s="429">
        <f t="shared" si="0"/>
        <v>689861000</v>
      </c>
      <c r="Q5" s="429">
        <f t="shared" si="0"/>
        <v>751352000</v>
      </c>
      <c r="R5" s="429">
        <f t="shared" si="0"/>
        <v>740154000</v>
      </c>
      <c r="S5" s="429">
        <f t="shared" si="0"/>
        <v>3266576000</v>
      </c>
      <c r="T5" s="429">
        <f t="shared" si="0"/>
        <v>3223709000</v>
      </c>
      <c r="U5" s="430">
        <f>T5-S5</f>
        <v>-42867000</v>
      </c>
      <c r="V5" s="431">
        <f>U5/S5</f>
        <v>-1.3122915248259951E-2</v>
      </c>
      <c r="W5" s="432"/>
      <c r="X5" s="433"/>
      <c r="Y5" s="434"/>
      <c r="Z5" s="435"/>
    </row>
    <row r="6" spans="1:26" s="32" customFormat="1" ht="23.25" customHeight="1" x14ac:dyDescent="0.3">
      <c r="A6" s="436" t="s">
        <v>17</v>
      </c>
      <c r="B6" s="437"/>
      <c r="C6" s="437"/>
      <c r="D6" s="438">
        <f t="shared" ref="D6:T6" si="1">D7+D46+D59</f>
        <v>430695000</v>
      </c>
      <c r="E6" s="439">
        <f t="shared" si="1"/>
        <v>442423000</v>
      </c>
      <c r="F6" s="439">
        <f t="shared" si="1"/>
        <v>442270000</v>
      </c>
      <c r="G6" s="439">
        <f t="shared" si="1"/>
        <v>430695000</v>
      </c>
      <c r="H6" s="440">
        <f t="shared" si="1"/>
        <v>459818000</v>
      </c>
      <c r="I6" s="440">
        <f t="shared" si="1"/>
        <v>504747000</v>
      </c>
      <c r="J6" s="440">
        <f t="shared" si="1"/>
        <v>525468000</v>
      </c>
      <c r="K6" s="440">
        <f t="shared" si="1"/>
        <v>527890000</v>
      </c>
      <c r="L6" s="439">
        <f t="shared" si="1"/>
        <v>532749000</v>
      </c>
      <c r="M6" s="441">
        <f t="shared" si="1"/>
        <v>560251000</v>
      </c>
      <c r="N6" s="441">
        <f t="shared" si="1"/>
        <v>556005000</v>
      </c>
      <c r="O6" s="441">
        <f t="shared" si="1"/>
        <v>539239000</v>
      </c>
      <c r="P6" s="441">
        <f t="shared" si="1"/>
        <v>531573000</v>
      </c>
      <c r="Q6" s="441">
        <f t="shared" si="1"/>
        <v>577397000</v>
      </c>
      <c r="R6" s="441">
        <f t="shared" si="1"/>
        <v>572249000</v>
      </c>
      <c r="S6" s="441">
        <f t="shared" si="1"/>
        <v>577766000</v>
      </c>
      <c r="T6" s="441">
        <f t="shared" si="1"/>
        <v>589869000</v>
      </c>
      <c r="U6" s="430">
        <f>T6-S6</f>
        <v>12103000</v>
      </c>
      <c r="V6" s="431">
        <f>U6/S6</f>
        <v>2.0947927015435314E-2</v>
      </c>
      <c r="W6" s="442"/>
      <c r="X6" s="443"/>
      <c r="Y6" s="444"/>
      <c r="Z6" s="445"/>
    </row>
    <row r="7" spans="1:26" ht="23.25" customHeight="1" x14ac:dyDescent="0.3">
      <c r="A7" s="400"/>
      <c r="B7" s="388" t="s">
        <v>21</v>
      </c>
      <c r="C7" s="446"/>
      <c r="D7" s="447">
        <f t="shared" ref="D7:T7" si="2">SUM(D8:D45)</f>
        <v>314390000</v>
      </c>
      <c r="E7" s="448">
        <f t="shared" si="2"/>
        <v>330794000</v>
      </c>
      <c r="F7" s="448">
        <f t="shared" si="2"/>
        <v>330509000</v>
      </c>
      <c r="G7" s="448">
        <f t="shared" si="2"/>
        <v>314390000</v>
      </c>
      <c r="H7" s="448">
        <f t="shared" si="2"/>
        <v>350342000</v>
      </c>
      <c r="I7" s="448">
        <f t="shared" si="2"/>
        <v>386354000</v>
      </c>
      <c r="J7" s="448">
        <f t="shared" si="2"/>
        <v>408807000</v>
      </c>
      <c r="K7" s="448">
        <f t="shared" si="2"/>
        <v>399731000</v>
      </c>
      <c r="L7" s="448">
        <f t="shared" si="2"/>
        <v>401880000</v>
      </c>
      <c r="M7" s="448">
        <f t="shared" si="2"/>
        <v>430467000</v>
      </c>
      <c r="N7" s="448">
        <f t="shared" si="2"/>
        <v>423479000</v>
      </c>
      <c r="O7" s="448">
        <f t="shared" si="2"/>
        <v>419983000</v>
      </c>
      <c r="P7" s="448">
        <f t="shared" si="2"/>
        <v>419287000</v>
      </c>
      <c r="Q7" s="448">
        <f t="shared" si="2"/>
        <v>435297000</v>
      </c>
      <c r="R7" s="448">
        <f t="shared" si="2"/>
        <v>434249000</v>
      </c>
      <c r="S7" s="448">
        <f t="shared" si="2"/>
        <v>439359000</v>
      </c>
      <c r="T7" s="448">
        <f t="shared" si="2"/>
        <v>447801000</v>
      </c>
      <c r="U7" s="449">
        <f>T7-S7</f>
        <v>8442000</v>
      </c>
      <c r="V7" s="450">
        <f>U7/S7</f>
        <v>1.9214355458747858E-2</v>
      </c>
      <c r="W7" s="451" t="s">
        <v>83</v>
      </c>
      <c r="X7" s="452" t="s">
        <v>84</v>
      </c>
      <c r="Y7" s="453"/>
      <c r="Z7" s="454"/>
    </row>
    <row r="8" spans="1:26" ht="23.25" customHeight="1" x14ac:dyDescent="0.3">
      <c r="A8" s="400"/>
      <c r="B8" s="323"/>
      <c r="C8" s="323" t="s">
        <v>23</v>
      </c>
      <c r="D8" s="455">
        <v>218997000</v>
      </c>
      <c r="E8" s="456">
        <v>229395000</v>
      </c>
      <c r="F8" s="456">
        <v>229395000</v>
      </c>
      <c r="G8" s="457">
        <v>218997000</v>
      </c>
      <c r="H8" s="457">
        <v>230087000</v>
      </c>
      <c r="I8" s="457">
        <v>262591000</v>
      </c>
      <c r="J8" s="457">
        <v>275853000</v>
      </c>
      <c r="K8" s="457">
        <v>267392000</v>
      </c>
      <c r="L8" s="457">
        <v>267392000</v>
      </c>
      <c r="M8" s="457">
        <v>282641000</v>
      </c>
      <c r="N8" s="457">
        <v>282436000</v>
      </c>
      <c r="O8" s="457">
        <v>280156000</v>
      </c>
      <c r="P8" s="457">
        <v>279703000</v>
      </c>
      <c r="Q8" s="457">
        <v>293574000</v>
      </c>
      <c r="R8" s="457">
        <v>292439000</v>
      </c>
      <c r="S8" s="457">
        <v>297260000</v>
      </c>
      <c r="T8" s="457">
        <f>ROUNDUP(SUM(Z8:Z23),-3)</f>
        <v>304183000</v>
      </c>
      <c r="U8" s="458">
        <f>T8-S8</f>
        <v>6923000</v>
      </c>
      <c r="V8" s="459">
        <f>U8/S8</f>
        <v>2.3289376303572629E-2</v>
      </c>
      <c r="W8" s="460" t="s">
        <v>85</v>
      </c>
      <c r="X8" s="461">
        <v>21</v>
      </c>
      <c r="Y8" s="462" t="s">
        <v>345</v>
      </c>
      <c r="Z8" s="463">
        <f>4774460*12</f>
        <v>57293520</v>
      </c>
    </row>
    <row r="9" spans="1:26" ht="23.25" customHeight="1" x14ac:dyDescent="0.3">
      <c r="A9" s="400"/>
      <c r="B9" s="322"/>
      <c r="C9" s="322"/>
      <c r="D9" s="464"/>
      <c r="E9" s="465"/>
      <c r="F9" s="465"/>
      <c r="G9" s="465"/>
      <c r="H9" s="465"/>
      <c r="I9" s="465"/>
      <c r="J9" s="465"/>
      <c r="K9" s="465"/>
      <c r="L9" s="465"/>
      <c r="M9" s="465"/>
      <c r="N9" s="465"/>
      <c r="O9" s="465"/>
      <c r="P9" s="465"/>
      <c r="Q9" s="465"/>
      <c r="R9" s="465"/>
      <c r="S9" s="465"/>
      <c r="T9" s="465"/>
      <c r="U9" s="466"/>
      <c r="V9" s="467"/>
      <c r="W9" s="468" t="s">
        <v>86</v>
      </c>
      <c r="X9" s="469">
        <v>21</v>
      </c>
      <c r="Y9" s="470" t="s">
        <v>346</v>
      </c>
      <c r="Z9" s="471">
        <f>3965910*11</f>
        <v>43625010</v>
      </c>
    </row>
    <row r="10" spans="1:26" ht="23.25" customHeight="1" x14ac:dyDescent="0.3">
      <c r="A10" s="400"/>
      <c r="B10" s="322"/>
      <c r="C10" s="322"/>
      <c r="D10" s="464"/>
      <c r="E10" s="465"/>
      <c r="F10" s="465"/>
      <c r="G10" s="465"/>
      <c r="H10" s="465"/>
      <c r="I10" s="465"/>
      <c r="J10" s="465"/>
      <c r="K10" s="465"/>
      <c r="L10" s="465"/>
      <c r="M10" s="465"/>
      <c r="N10" s="465"/>
      <c r="O10" s="465"/>
      <c r="P10" s="465"/>
      <c r="Q10" s="465"/>
      <c r="R10" s="465"/>
      <c r="S10" s="465"/>
      <c r="T10" s="465"/>
      <c r="U10" s="466"/>
      <c r="V10" s="467"/>
      <c r="W10" s="468"/>
      <c r="X10" s="469">
        <v>22</v>
      </c>
      <c r="Y10" s="470" t="s">
        <v>347</v>
      </c>
      <c r="Z10" s="471">
        <f>4019780*1</f>
        <v>4019780</v>
      </c>
    </row>
    <row r="11" spans="1:26" ht="23.25" customHeight="1" x14ac:dyDescent="0.3">
      <c r="A11" s="400"/>
      <c r="B11" s="322"/>
      <c r="C11" s="322"/>
      <c r="D11" s="464"/>
      <c r="E11" s="465"/>
      <c r="F11" s="465"/>
      <c r="G11" s="465"/>
      <c r="H11" s="465"/>
      <c r="I11" s="465"/>
      <c r="J11" s="465"/>
      <c r="K11" s="465"/>
      <c r="L11" s="465"/>
      <c r="M11" s="465"/>
      <c r="N11" s="465"/>
      <c r="O11" s="465"/>
      <c r="P11" s="465"/>
      <c r="Q11" s="465"/>
      <c r="R11" s="465"/>
      <c r="S11" s="465"/>
      <c r="T11" s="465"/>
      <c r="U11" s="466"/>
      <c r="V11" s="467"/>
      <c r="W11" s="468" t="s">
        <v>86</v>
      </c>
      <c r="X11" s="469">
        <v>17</v>
      </c>
      <c r="Y11" s="470" t="s">
        <v>348</v>
      </c>
      <c r="Z11" s="471">
        <f>3721700*12</f>
        <v>44660400</v>
      </c>
    </row>
    <row r="12" spans="1:26" ht="23.25" customHeight="1" x14ac:dyDescent="0.3">
      <c r="A12" s="400"/>
      <c r="B12" s="322"/>
      <c r="C12" s="322"/>
      <c r="D12" s="464"/>
      <c r="E12" s="465"/>
      <c r="F12" s="465"/>
      <c r="G12" s="465"/>
      <c r="H12" s="465"/>
      <c r="I12" s="465"/>
      <c r="J12" s="465"/>
      <c r="K12" s="465"/>
      <c r="L12" s="465"/>
      <c r="M12" s="465"/>
      <c r="N12" s="465"/>
      <c r="O12" s="465"/>
      <c r="P12" s="465"/>
      <c r="Q12" s="465"/>
      <c r="R12" s="465"/>
      <c r="S12" s="465"/>
      <c r="T12" s="465"/>
      <c r="U12" s="466"/>
      <c r="V12" s="467"/>
      <c r="W12" s="468" t="s">
        <v>87</v>
      </c>
      <c r="X12" s="469">
        <v>10</v>
      </c>
      <c r="Y12" s="470" t="s">
        <v>349</v>
      </c>
      <c r="Z12" s="471">
        <f>2852480*4</f>
        <v>11409920</v>
      </c>
    </row>
    <row r="13" spans="1:26" ht="23.25" customHeight="1" x14ac:dyDescent="0.3">
      <c r="A13" s="400"/>
      <c r="B13" s="322"/>
      <c r="C13" s="322"/>
      <c r="D13" s="464"/>
      <c r="E13" s="465"/>
      <c r="F13" s="465"/>
      <c r="G13" s="465"/>
      <c r="H13" s="465"/>
      <c r="I13" s="465"/>
      <c r="J13" s="465"/>
      <c r="K13" s="465"/>
      <c r="L13" s="465"/>
      <c r="M13" s="465"/>
      <c r="N13" s="465"/>
      <c r="O13" s="465"/>
      <c r="P13" s="465"/>
      <c r="Q13" s="465"/>
      <c r="R13" s="465"/>
      <c r="S13" s="465"/>
      <c r="T13" s="465"/>
      <c r="U13" s="466"/>
      <c r="V13" s="467"/>
      <c r="W13" s="468" t="s">
        <v>88</v>
      </c>
      <c r="X13" s="469">
        <v>8</v>
      </c>
      <c r="Y13" s="470" t="s">
        <v>350</v>
      </c>
      <c r="Z13" s="471">
        <f>2431520*3</f>
        <v>7294560</v>
      </c>
    </row>
    <row r="14" spans="1:26" ht="23.25" customHeight="1" x14ac:dyDescent="0.3">
      <c r="A14" s="400"/>
      <c r="B14" s="322"/>
      <c r="C14" s="322"/>
      <c r="D14" s="464"/>
      <c r="E14" s="465"/>
      <c r="F14" s="465"/>
      <c r="G14" s="465"/>
      <c r="H14" s="465"/>
      <c r="I14" s="465"/>
      <c r="J14" s="465"/>
      <c r="K14" s="465"/>
      <c r="L14" s="465"/>
      <c r="M14" s="465"/>
      <c r="N14" s="465"/>
      <c r="O14" s="465"/>
      <c r="P14" s="465"/>
      <c r="Q14" s="465"/>
      <c r="R14" s="465"/>
      <c r="S14" s="465"/>
      <c r="T14" s="465"/>
      <c r="U14" s="466"/>
      <c r="V14" s="467"/>
      <c r="W14" s="468"/>
      <c r="X14" s="469">
        <v>9</v>
      </c>
      <c r="Y14" s="470" t="s">
        <v>351</v>
      </c>
      <c r="Z14" s="471">
        <f>2528650*5</f>
        <v>12643250</v>
      </c>
    </row>
    <row r="15" spans="1:26" ht="23.25" customHeight="1" x14ac:dyDescent="0.3">
      <c r="A15" s="400"/>
      <c r="B15" s="322"/>
      <c r="C15" s="322"/>
      <c r="D15" s="464"/>
      <c r="E15" s="465"/>
      <c r="F15" s="465"/>
      <c r="G15" s="465"/>
      <c r="H15" s="465"/>
      <c r="I15" s="465"/>
      <c r="J15" s="465"/>
      <c r="K15" s="465"/>
      <c r="L15" s="465"/>
      <c r="M15" s="465"/>
      <c r="N15" s="465"/>
      <c r="O15" s="465"/>
      <c r="P15" s="465"/>
      <c r="Q15" s="465"/>
      <c r="R15" s="465"/>
      <c r="S15" s="465"/>
      <c r="T15" s="465"/>
      <c r="U15" s="466"/>
      <c r="V15" s="467"/>
      <c r="W15" s="468" t="s">
        <v>333</v>
      </c>
      <c r="X15" s="469">
        <v>12</v>
      </c>
      <c r="Y15" s="470" t="s">
        <v>352</v>
      </c>
      <c r="Z15" s="471">
        <f>2777400*9</f>
        <v>24996600</v>
      </c>
    </row>
    <row r="16" spans="1:26" ht="23.25" customHeight="1" x14ac:dyDescent="0.3">
      <c r="A16" s="400"/>
      <c r="B16" s="322"/>
      <c r="C16" s="322"/>
      <c r="D16" s="464"/>
      <c r="E16" s="465"/>
      <c r="F16" s="465"/>
      <c r="G16" s="465"/>
      <c r="H16" s="465"/>
      <c r="I16" s="465"/>
      <c r="J16" s="465"/>
      <c r="K16" s="465"/>
      <c r="L16" s="465"/>
      <c r="M16" s="465"/>
      <c r="N16" s="465"/>
      <c r="O16" s="465"/>
      <c r="P16" s="465"/>
      <c r="Q16" s="465"/>
      <c r="R16" s="465"/>
      <c r="S16" s="465"/>
      <c r="T16" s="465"/>
      <c r="U16" s="466"/>
      <c r="V16" s="467"/>
      <c r="W16" s="468"/>
      <c r="X16" s="469">
        <v>13</v>
      </c>
      <c r="Y16" s="470" t="s">
        <v>353</v>
      </c>
      <c r="Z16" s="471">
        <f>2845580*3</f>
        <v>8536740</v>
      </c>
    </row>
    <row r="17" spans="1:27" ht="23.25" customHeight="1" x14ac:dyDescent="0.3">
      <c r="A17" s="400"/>
      <c r="B17" s="322"/>
      <c r="C17" s="322"/>
      <c r="D17" s="464"/>
      <c r="E17" s="465"/>
      <c r="F17" s="465"/>
      <c r="G17" s="465"/>
      <c r="H17" s="465"/>
      <c r="I17" s="465"/>
      <c r="J17" s="465"/>
      <c r="K17" s="465"/>
      <c r="L17" s="465"/>
      <c r="M17" s="465"/>
      <c r="N17" s="465"/>
      <c r="O17" s="465"/>
      <c r="P17" s="465"/>
      <c r="Q17" s="465"/>
      <c r="R17" s="465"/>
      <c r="S17" s="465"/>
      <c r="T17" s="465"/>
      <c r="U17" s="466"/>
      <c r="V17" s="467"/>
      <c r="W17" s="472" t="s">
        <v>89</v>
      </c>
      <c r="X17" s="473">
        <v>10</v>
      </c>
      <c r="Y17" s="474" t="s">
        <v>354</v>
      </c>
      <c r="Z17" s="471">
        <f>2372400*8</f>
        <v>18979200</v>
      </c>
    </row>
    <row r="18" spans="1:27" ht="23.25" customHeight="1" x14ac:dyDescent="0.3">
      <c r="A18" s="400"/>
      <c r="B18" s="322"/>
      <c r="C18" s="322"/>
      <c r="D18" s="464"/>
      <c r="E18" s="465"/>
      <c r="F18" s="465"/>
      <c r="G18" s="465"/>
      <c r="H18" s="465"/>
      <c r="I18" s="465"/>
      <c r="J18" s="465"/>
      <c r="K18" s="465"/>
      <c r="L18" s="465"/>
      <c r="M18" s="465"/>
      <c r="N18" s="465"/>
      <c r="O18" s="465"/>
      <c r="P18" s="465"/>
      <c r="Q18" s="465"/>
      <c r="R18" s="465"/>
      <c r="S18" s="465"/>
      <c r="T18" s="465"/>
      <c r="U18" s="466"/>
      <c r="V18" s="467"/>
      <c r="W18" s="472"/>
      <c r="X18" s="473">
        <v>11</v>
      </c>
      <c r="Y18" s="474" t="s">
        <v>355</v>
      </c>
      <c r="Z18" s="471">
        <f>2432550*4</f>
        <v>9730200</v>
      </c>
    </row>
    <row r="19" spans="1:27" ht="23.25" customHeight="1" x14ac:dyDescent="0.3">
      <c r="A19" s="400"/>
      <c r="B19" s="322"/>
      <c r="C19" s="322"/>
      <c r="D19" s="464"/>
      <c r="E19" s="465"/>
      <c r="F19" s="465"/>
      <c r="G19" s="465"/>
      <c r="H19" s="465"/>
      <c r="I19" s="465"/>
      <c r="J19" s="465"/>
      <c r="K19" s="465"/>
      <c r="L19" s="465"/>
      <c r="M19" s="465"/>
      <c r="N19" s="465"/>
      <c r="O19" s="465"/>
      <c r="P19" s="465"/>
      <c r="Q19" s="465"/>
      <c r="R19" s="465"/>
      <c r="S19" s="465"/>
      <c r="T19" s="465"/>
      <c r="U19" s="466"/>
      <c r="V19" s="467"/>
      <c r="W19" s="472" t="s">
        <v>90</v>
      </c>
      <c r="X19" s="473">
        <v>10</v>
      </c>
      <c r="Y19" s="474" t="s">
        <v>356</v>
      </c>
      <c r="Z19" s="471">
        <f>2549660*3</f>
        <v>7648980</v>
      </c>
    </row>
    <row r="20" spans="1:27" ht="23.25" customHeight="1" x14ac:dyDescent="0.3">
      <c r="A20" s="400"/>
      <c r="B20" s="322"/>
      <c r="C20" s="322"/>
      <c r="D20" s="464"/>
      <c r="E20" s="465"/>
      <c r="F20" s="465"/>
      <c r="G20" s="465"/>
      <c r="H20" s="465"/>
      <c r="I20" s="465"/>
      <c r="J20" s="465"/>
      <c r="K20" s="465"/>
      <c r="L20" s="465"/>
      <c r="M20" s="465"/>
      <c r="N20" s="465"/>
      <c r="O20" s="465"/>
      <c r="P20" s="465"/>
      <c r="Q20" s="465"/>
      <c r="R20" s="465"/>
      <c r="S20" s="465"/>
      <c r="T20" s="465"/>
      <c r="U20" s="466"/>
      <c r="V20" s="467"/>
      <c r="W20" s="472"/>
      <c r="X20" s="473">
        <v>11</v>
      </c>
      <c r="Y20" s="474" t="s">
        <v>357</v>
      </c>
      <c r="Z20" s="471">
        <f>2633400*9</f>
        <v>23700600</v>
      </c>
    </row>
    <row r="21" spans="1:27" ht="23.25" customHeight="1" x14ac:dyDescent="0.3">
      <c r="A21" s="400"/>
      <c r="B21" s="322"/>
      <c r="C21" s="322"/>
      <c r="D21" s="464"/>
      <c r="E21" s="465"/>
      <c r="F21" s="465"/>
      <c r="G21" s="465"/>
      <c r="H21" s="465"/>
      <c r="I21" s="465"/>
      <c r="J21" s="465"/>
      <c r="K21" s="465"/>
      <c r="L21" s="465"/>
      <c r="M21" s="465"/>
      <c r="N21" s="465"/>
      <c r="O21" s="465"/>
      <c r="P21" s="465"/>
      <c r="Q21" s="465"/>
      <c r="R21" s="465"/>
      <c r="S21" s="465"/>
      <c r="T21" s="465"/>
      <c r="U21" s="466"/>
      <c r="V21" s="467"/>
      <c r="W21" s="472" t="s">
        <v>91</v>
      </c>
      <c r="X21" s="473">
        <v>11</v>
      </c>
      <c r="Y21" s="474" t="s">
        <v>358</v>
      </c>
      <c r="Z21" s="471">
        <f>2541830*4</f>
        <v>10167320</v>
      </c>
    </row>
    <row r="22" spans="1:27" ht="23.25" customHeight="1" x14ac:dyDescent="0.3">
      <c r="A22" s="400"/>
      <c r="B22" s="322"/>
      <c r="C22" s="322"/>
      <c r="D22" s="464"/>
      <c r="E22" s="465"/>
      <c r="F22" s="465"/>
      <c r="G22" s="465"/>
      <c r="H22" s="465"/>
      <c r="I22" s="475"/>
      <c r="J22" s="475"/>
      <c r="K22" s="475"/>
      <c r="L22" s="475"/>
      <c r="M22" s="475"/>
      <c r="N22" s="475"/>
      <c r="O22" s="475"/>
      <c r="P22" s="475"/>
      <c r="Q22" s="475"/>
      <c r="R22" s="475"/>
      <c r="S22" s="475"/>
      <c r="T22" s="475"/>
      <c r="U22" s="476"/>
      <c r="V22" s="467"/>
      <c r="W22" s="472"/>
      <c r="X22" s="477">
        <v>12</v>
      </c>
      <c r="Y22" s="478" t="s">
        <v>359</v>
      </c>
      <c r="Z22" s="471">
        <f>2620930*2</f>
        <v>5241860</v>
      </c>
      <c r="AA22" s="33"/>
    </row>
    <row r="23" spans="1:27" ht="23.25" customHeight="1" x14ac:dyDescent="0.3">
      <c r="A23" s="400"/>
      <c r="B23" s="322"/>
      <c r="C23" s="348"/>
      <c r="D23" s="479"/>
      <c r="E23" s="480"/>
      <c r="F23" s="480"/>
      <c r="G23" s="480"/>
      <c r="H23" s="480"/>
      <c r="I23" s="480"/>
      <c r="J23" s="480"/>
      <c r="K23" s="480"/>
      <c r="L23" s="480"/>
      <c r="M23" s="480"/>
      <c r="N23" s="480"/>
      <c r="O23" s="480"/>
      <c r="P23" s="480"/>
      <c r="Q23" s="480"/>
      <c r="R23" s="480"/>
      <c r="S23" s="480"/>
      <c r="T23" s="480"/>
      <c r="U23" s="481"/>
      <c r="V23" s="482"/>
      <c r="W23" s="483"/>
      <c r="X23" s="484">
        <v>10</v>
      </c>
      <c r="Y23" s="346" t="s">
        <v>362</v>
      </c>
      <c r="Z23" s="485">
        <f>2372400*6</f>
        <v>14234400</v>
      </c>
      <c r="AA23" s="33"/>
    </row>
    <row r="24" spans="1:27" ht="23.25" customHeight="1" x14ac:dyDescent="0.3">
      <c r="A24" s="400"/>
      <c r="B24" s="322"/>
      <c r="C24" s="322" t="s">
        <v>24</v>
      </c>
      <c r="D24" s="464"/>
      <c r="E24" s="465"/>
      <c r="F24" s="465"/>
      <c r="G24" s="465"/>
      <c r="H24" s="465">
        <v>12495000</v>
      </c>
      <c r="I24" s="465">
        <v>10200000</v>
      </c>
      <c r="J24" s="465">
        <v>10900000</v>
      </c>
      <c r="K24" s="465">
        <v>11800000</v>
      </c>
      <c r="L24" s="465">
        <v>11800000</v>
      </c>
      <c r="M24" s="465">
        <v>13200000</v>
      </c>
      <c r="N24" s="465">
        <v>13200000</v>
      </c>
      <c r="O24" s="465">
        <v>13200000</v>
      </c>
      <c r="P24" s="465">
        <v>13200000</v>
      </c>
      <c r="Q24" s="465">
        <v>13200000</v>
      </c>
      <c r="R24" s="465">
        <v>13200000</v>
      </c>
      <c r="S24" s="465">
        <v>13200000</v>
      </c>
      <c r="T24" s="465">
        <f>SUM(Z24:Z25)</f>
        <v>13200000</v>
      </c>
      <c r="U24" s="466">
        <f>T24-S24</f>
        <v>0</v>
      </c>
      <c r="V24" s="467">
        <f>U24/S24</f>
        <v>0</v>
      </c>
      <c r="W24" s="472" t="s">
        <v>92</v>
      </c>
      <c r="X24" s="469" t="s">
        <v>93</v>
      </c>
      <c r="Y24" s="470" t="s">
        <v>94</v>
      </c>
      <c r="Z24" s="486">
        <f>10000*4*25*12</f>
        <v>12000000</v>
      </c>
    </row>
    <row r="25" spans="1:27" ht="23.25" customHeight="1" x14ac:dyDescent="0.3">
      <c r="A25" s="400"/>
      <c r="B25" s="322"/>
      <c r="C25" s="322"/>
      <c r="D25" s="464"/>
      <c r="E25" s="465"/>
      <c r="F25" s="465"/>
      <c r="G25" s="465"/>
      <c r="H25" s="465"/>
      <c r="I25" s="465"/>
      <c r="J25" s="465"/>
      <c r="K25" s="465"/>
      <c r="L25" s="465"/>
      <c r="M25" s="465"/>
      <c r="N25" s="465"/>
      <c r="O25" s="465"/>
      <c r="P25" s="465"/>
      <c r="Q25" s="465"/>
      <c r="R25" s="465"/>
      <c r="S25" s="465"/>
      <c r="T25" s="465"/>
      <c r="U25" s="466"/>
      <c r="V25" s="467"/>
      <c r="W25" s="472" t="s">
        <v>95</v>
      </c>
      <c r="X25" s="469"/>
      <c r="Y25" s="470" t="s">
        <v>96</v>
      </c>
      <c r="Z25" s="486">
        <f>100000*12</f>
        <v>1200000</v>
      </c>
    </row>
    <row r="26" spans="1:27" ht="23.25" customHeight="1" x14ac:dyDescent="0.3">
      <c r="A26" s="400"/>
      <c r="B26" s="322"/>
      <c r="C26" s="323" t="s">
        <v>25</v>
      </c>
      <c r="D26" s="487">
        <v>46019000</v>
      </c>
      <c r="E26" s="457">
        <v>49755000</v>
      </c>
      <c r="F26" s="457">
        <v>49497000</v>
      </c>
      <c r="G26" s="457">
        <v>46019000</v>
      </c>
      <c r="H26" s="457">
        <v>48790000</v>
      </c>
      <c r="I26" s="457">
        <v>58956000</v>
      </c>
      <c r="J26" s="457">
        <v>63906000</v>
      </c>
      <c r="K26" s="457">
        <v>63247000</v>
      </c>
      <c r="L26" s="457">
        <v>63247000</v>
      </c>
      <c r="M26" s="457">
        <v>70633000</v>
      </c>
      <c r="N26" s="457">
        <v>64007000</v>
      </c>
      <c r="O26" s="457">
        <v>63059000</v>
      </c>
      <c r="P26" s="457">
        <v>62618000</v>
      </c>
      <c r="Q26" s="457">
        <v>63312000</v>
      </c>
      <c r="R26" s="457">
        <v>63159000</v>
      </c>
      <c r="S26" s="457">
        <v>62633000</v>
      </c>
      <c r="T26" s="457">
        <f>ROUNDUP(SUM(Z26:Z35),-3)</f>
        <v>64999000</v>
      </c>
      <c r="U26" s="458">
        <f>T26-S26</f>
        <v>2366000</v>
      </c>
      <c r="V26" s="459">
        <f>U26/S26</f>
        <v>3.7775613494483738E-2</v>
      </c>
      <c r="W26" s="460" t="s">
        <v>97</v>
      </c>
      <c r="X26" s="461"/>
      <c r="Y26" s="462" t="s">
        <v>363</v>
      </c>
      <c r="Z26" s="463">
        <f>15200000*2</f>
        <v>30400000</v>
      </c>
      <c r="AA26" s="33"/>
    </row>
    <row r="27" spans="1:27" ht="15.75" x14ac:dyDescent="0.3">
      <c r="A27" s="400"/>
      <c r="B27" s="322"/>
      <c r="C27" s="322"/>
      <c r="D27" s="464"/>
      <c r="E27" s="465"/>
      <c r="F27" s="465"/>
      <c r="G27" s="465"/>
      <c r="H27" s="465"/>
      <c r="I27" s="465"/>
      <c r="J27" s="465"/>
      <c r="K27" s="465"/>
      <c r="L27" s="465"/>
      <c r="M27" s="465"/>
      <c r="N27" s="465"/>
      <c r="O27" s="465"/>
      <c r="P27" s="465"/>
      <c r="Q27" s="465"/>
      <c r="R27" s="465"/>
      <c r="S27" s="465"/>
      <c r="T27" s="465"/>
      <c r="U27" s="466"/>
      <c r="V27" s="467"/>
      <c r="W27" s="468"/>
      <c r="X27" s="469" t="s">
        <v>98</v>
      </c>
      <c r="Y27" s="470" t="s">
        <v>440</v>
      </c>
      <c r="Z27" s="471">
        <f>603600*5*2</f>
        <v>6036000</v>
      </c>
      <c r="AA27" s="33"/>
    </row>
    <row r="28" spans="1:27" ht="23.25" customHeight="1" x14ac:dyDescent="0.3">
      <c r="A28" s="400"/>
      <c r="B28" s="322"/>
      <c r="C28" s="322"/>
      <c r="D28" s="464"/>
      <c r="E28" s="465"/>
      <c r="F28" s="465"/>
      <c r="G28" s="465"/>
      <c r="H28" s="465"/>
      <c r="I28" s="465"/>
      <c r="J28" s="465"/>
      <c r="K28" s="465"/>
      <c r="L28" s="465"/>
      <c r="M28" s="465"/>
      <c r="N28" s="465"/>
      <c r="O28" s="465"/>
      <c r="P28" s="465"/>
      <c r="Q28" s="465"/>
      <c r="R28" s="465"/>
      <c r="S28" s="465"/>
      <c r="T28" s="465"/>
      <c r="U28" s="466"/>
      <c r="V28" s="467"/>
      <c r="W28" s="468"/>
      <c r="X28" s="469" t="s">
        <v>99</v>
      </c>
      <c r="Y28" s="470" t="s">
        <v>442</v>
      </c>
      <c r="Z28" s="471">
        <f>1185600*1*1</f>
        <v>1185600</v>
      </c>
    </row>
    <row r="29" spans="1:27" ht="23.25" customHeight="1" x14ac:dyDescent="0.3">
      <c r="A29" s="400"/>
      <c r="B29" s="322"/>
      <c r="C29" s="322"/>
      <c r="D29" s="464"/>
      <c r="E29" s="465"/>
      <c r="F29" s="465"/>
      <c r="G29" s="465"/>
      <c r="H29" s="465"/>
      <c r="I29" s="465"/>
      <c r="J29" s="465"/>
      <c r="K29" s="465"/>
      <c r="L29" s="465"/>
      <c r="M29" s="465"/>
      <c r="N29" s="465"/>
      <c r="O29" s="465"/>
      <c r="P29" s="465"/>
      <c r="Q29" s="465"/>
      <c r="R29" s="465"/>
      <c r="S29" s="465"/>
      <c r="T29" s="465"/>
      <c r="U29" s="466"/>
      <c r="V29" s="467"/>
      <c r="W29" s="468"/>
      <c r="X29" s="469" t="s">
        <v>100</v>
      </c>
      <c r="Y29" s="470" t="s">
        <v>444</v>
      </c>
      <c r="Z29" s="471">
        <f>1148660*1*2</f>
        <v>2297320</v>
      </c>
    </row>
    <row r="30" spans="1:27" ht="23.25" customHeight="1" x14ac:dyDescent="0.3">
      <c r="A30" s="400"/>
      <c r="B30" s="322"/>
      <c r="C30" s="322"/>
      <c r="D30" s="464"/>
      <c r="E30" s="465"/>
      <c r="F30" s="465"/>
      <c r="G30" s="465"/>
      <c r="H30" s="465"/>
      <c r="I30" s="465"/>
      <c r="J30" s="465"/>
      <c r="K30" s="465"/>
      <c r="L30" s="465"/>
      <c r="M30" s="465"/>
      <c r="N30" s="465"/>
      <c r="O30" s="465"/>
      <c r="P30" s="465"/>
      <c r="Q30" s="465"/>
      <c r="R30" s="465"/>
      <c r="S30" s="465"/>
      <c r="T30" s="465"/>
      <c r="U30" s="466"/>
      <c r="V30" s="467"/>
      <c r="W30" s="468"/>
      <c r="X30" s="469" t="s">
        <v>101</v>
      </c>
      <c r="Y30" s="470" t="s">
        <v>102</v>
      </c>
      <c r="Z30" s="471">
        <f>300000*2</f>
        <v>600000</v>
      </c>
    </row>
    <row r="31" spans="1:27" ht="23.25" customHeight="1" x14ac:dyDescent="0.3">
      <c r="A31" s="400"/>
      <c r="B31" s="322"/>
      <c r="C31" s="322"/>
      <c r="D31" s="464"/>
      <c r="E31" s="465"/>
      <c r="F31" s="465"/>
      <c r="G31" s="465"/>
      <c r="H31" s="465"/>
      <c r="I31" s="465"/>
      <c r="J31" s="465"/>
      <c r="K31" s="465"/>
      <c r="L31" s="465"/>
      <c r="M31" s="465"/>
      <c r="N31" s="465"/>
      <c r="O31" s="465"/>
      <c r="P31" s="465"/>
      <c r="Q31" s="465"/>
      <c r="R31" s="465"/>
      <c r="S31" s="465"/>
      <c r="T31" s="465"/>
      <c r="U31" s="466"/>
      <c r="V31" s="467"/>
      <c r="W31" s="468" t="s">
        <v>103</v>
      </c>
      <c r="X31" s="469"/>
      <c r="Y31" s="470" t="s">
        <v>339</v>
      </c>
      <c r="Z31" s="471">
        <f>6*150000*12</f>
        <v>10800000</v>
      </c>
    </row>
    <row r="32" spans="1:27" ht="23.25" customHeight="1" x14ac:dyDescent="0.3">
      <c r="A32" s="400"/>
      <c r="B32" s="322"/>
      <c r="C32" s="322"/>
      <c r="D32" s="464"/>
      <c r="E32" s="465"/>
      <c r="F32" s="465"/>
      <c r="G32" s="465"/>
      <c r="H32" s="465"/>
      <c r="I32" s="465"/>
      <c r="J32" s="465"/>
      <c r="K32" s="465"/>
      <c r="L32" s="465"/>
      <c r="M32" s="465"/>
      <c r="N32" s="465"/>
      <c r="O32" s="465"/>
      <c r="P32" s="465"/>
      <c r="Q32" s="465"/>
      <c r="R32" s="465"/>
      <c r="S32" s="465"/>
      <c r="T32" s="465"/>
      <c r="U32" s="466"/>
      <c r="V32" s="467"/>
      <c r="W32" s="468"/>
      <c r="X32" s="469"/>
      <c r="Y32" s="470" t="s">
        <v>341</v>
      </c>
      <c r="Z32" s="471">
        <f>(1*120000*12)+(1*120000*4)</f>
        <v>1920000</v>
      </c>
    </row>
    <row r="33" spans="1:27" ht="23.25" customHeight="1" x14ac:dyDescent="0.3">
      <c r="A33" s="400"/>
      <c r="B33" s="322"/>
      <c r="C33" s="322"/>
      <c r="D33" s="464"/>
      <c r="E33" s="465"/>
      <c r="F33" s="465"/>
      <c r="G33" s="465"/>
      <c r="H33" s="465"/>
      <c r="I33" s="465"/>
      <c r="J33" s="465"/>
      <c r="K33" s="465"/>
      <c r="L33" s="465"/>
      <c r="M33" s="465"/>
      <c r="N33" s="465"/>
      <c r="O33" s="465"/>
      <c r="P33" s="465"/>
      <c r="Q33" s="465"/>
      <c r="R33" s="465"/>
      <c r="S33" s="465"/>
      <c r="T33" s="465"/>
      <c r="U33" s="466"/>
      <c r="V33" s="467"/>
      <c r="W33" s="468" t="s">
        <v>104</v>
      </c>
      <c r="X33" s="469" t="s">
        <v>98</v>
      </c>
      <c r="Y33" s="470" t="s">
        <v>105</v>
      </c>
      <c r="Z33" s="471">
        <f>1*100000*12</f>
        <v>1200000</v>
      </c>
    </row>
    <row r="34" spans="1:27" ht="23.25" customHeight="1" x14ac:dyDescent="0.3">
      <c r="A34" s="400"/>
      <c r="B34" s="322"/>
      <c r="C34" s="322"/>
      <c r="D34" s="464"/>
      <c r="E34" s="465"/>
      <c r="F34" s="465"/>
      <c r="G34" s="465"/>
      <c r="H34" s="465"/>
      <c r="I34" s="465"/>
      <c r="J34" s="465"/>
      <c r="K34" s="465"/>
      <c r="L34" s="465"/>
      <c r="M34" s="465"/>
      <c r="N34" s="465"/>
      <c r="O34" s="465"/>
      <c r="P34" s="465"/>
      <c r="Q34" s="465"/>
      <c r="R34" s="465"/>
      <c r="S34" s="465"/>
      <c r="T34" s="465"/>
      <c r="U34" s="466"/>
      <c r="V34" s="467"/>
      <c r="W34" s="468" t="s">
        <v>106</v>
      </c>
      <c r="X34" s="469" t="s">
        <v>107</v>
      </c>
      <c r="Y34" s="470" t="s">
        <v>108</v>
      </c>
      <c r="Z34" s="471">
        <f>200000*12</f>
        <v>2400000</v>
      </c>
    </row>
    <row r="35" spans="1:27" ht="23.25" customHeight="1" x14ac:dyDescent="0.3">
      <c r="A35" s="400"/>
      <c r="B35" s="322"/>
      <c r="C35" s="322"/>
      <c r="D35" s="464"/>
      <c r="E35" s="465"/>
      <c r="F35" s="465"/>
      <c r="G35" s="465"/>
      <c r="H35" s="465"/>
      <c r="I35" s="465"/>
      <c r="J35" s="465"/>
      <c r="K35" s="465"/>
      <c r="L35" s="465"/>
      <c r="M35" s="465"/>
      <c r="N35" s="465"/>
      <c r="O35" s="465"/>
      <c r="P35" s="465"/>
      <c r="Q35" s="465"/>
      <c r="R35" s="465"/>
      <c r="S35" s="465"/>
      <c r="T35" s="465"/>
      <c r="U35" s="466"/>
      <c r="V35" s="467"/>
      <c r="W35" s="468" t="s">
        <v>109</v>
      </c>
      <c r="X35" s="473" t="s">
        <v>110</v>
      </c>
      <c r="Y35" s="474" t="s">
        <v>342</v>
      </c>
      <c r="Z35" s="471">
        <f>680000*12</f>
        <v>8160000</v>
      </c>
    </row>
    <row r="36" spans="1:27" ht="23.25" customHeight="1" x14ac:dyDescent="0.3">
      <c r="A36" s="400"/>
      <c r="B36" s="322"/>
      <c r="C36" s="488" t="s">
        <v>111</v>
      </c>
      <c r="D36" s="487">
        <v>25494000</v>
      </c>
      <c r="E36" s="457">
        <v>26639000</v>
      </c>
      <c r="F36" s="457">
        <v>26612000</v>
      </c>
      <c r="G36" s="457">
        <v>25494000</v>
      </c>
      <c r="H36" s="457">
        <v>32816000</v>
      </c>
      <c r="I36" s="457">
        <v>27367000</v>
      </c>
      <c r="J36" s="457">
        <v>28936000</v>
      </c>
      <c r="K36" s="457">
        <v>28001000</v>
      </c>
      <c r="L36" s="457">
        <v>28001000</v>
      </c>
      <c r="M36" s="457">
        <v>28938000</v>
      </c>
      <c r="N36" s="457">
        <v>29579000</v>
      </c>
      <c r="O36" s="457">
        <v>29311000</v>
      </c>
      <c r="P36" s="457">
        <v>29509000</v>
      </c>
      <c r="Q36" s="457">
        <v>30573000</v>
      </c>
      <c r="R36" s="457">
        <v>30474000</v>
      </c>
      <c r="S36" s="457">
        <v>30833000</v>
      </c>
      <c r="T36" s="457">
        <f>ROUNDUP(SUM(Z36:Z40),-3)</f>
        <v>30546000</v>
      </c>
      <c r="U36" s="458">
        <f>T36-S36</f>
        <v>-287000</v>
      </c>
      <c r="V36" s="459">
        <f>U36/S36</f>
        <v>-9.3082087373917554E-3</v>
      </c>
      <c r="W36" s="460" t="s">
        <v>112</v>
      </c>
      <c r="X36" s="461"/>
      <c r="Y36" s="489" t="s">
        <v>364</v>
      </c>
      <c r="Z36" s="463">
        <f>28652000</f>
        <v>28652000</v>
      </c>
    </row>
    <row r="37" spans="1:27" ht="23.25" customHeight="1" x14ac:dyDescent="0.3">
      <c r="A37" s="400"/>
      <c r="B37" s="322"/>
      <c r="C37" s="490"/>
      <c r="D37" s="464"/>
      <c r="E37" s="465"/>
      <c r="F37" s="465"/>
      <c r="G37" s="465"/>
      <c r="H37" s="465"/>
      <c r="I37" s="465"/>
      <c r="J37" s="465"/>
      <c r="K37" s="465"/>
      <c r="L37" s="465"/>
      <c r="M37" s="465"/>
      <c r="N37" s="465"/>
      <c r="O37" s="465"/>
      <c r="P37" s="465"/>
      <c r="Q37" s="465"/>
      <c r="R37" s="465"/>
      <c r="S37" s="465"/>
      <c r="T37" s="465"/>
      <c r="U37" s="466"/>
      <c r="V37" s="467"/>
      <c r="W37" s="468"/>
      <c r="X37" s="469" t="s">
        <v>98</v>
      </c>
      <c r="Y37" s="491" t="s">
        <v>441</v>
      </c>
      <c r="Z37" s="471">
        <f>(8330*12)+(50300*5*2)</f>
        <v>602960</v>
      </c>
      <c r="AA37" s="33"/>
    </row>
    <row r="38" spans="1:27" ht="23.25" customHeight="1" x14ac:dyDescent="0.3">
      <c r="A38" s="400"/>
      <c r="B38" s="322"/>
      <c r="C38" s="492"/>
      <c r="D38" s="464"/>
      <c r="E38" s="465"/>
      <c r="F38" s="465"/>
      <c r="G38" s="465"/>
      <c r="H38" s="465"/>
      <c r="I38" s="465"/>
      <c r="J38" s="465"/>
      <c r="K38" s="465"/>
      <c r="L38" s="465"/>
      <c r="M38" s="465"/>
      <c r="N38" s="465"/>
      <c r="O38" s="465"/>
      <c r="P38" s="465"/>
      <c r="Q38" s="465"/>
      <c r="R38" s="465"/>
      <c r="S38" s="465"/>
      <c r="T38" s="465"/>
      <c r="U38" s="466"/>
      <c r="V38" s="467"/>
      <c r="W38" s="468"/>
      <c r="X38" s="469" t="s">
        <v>99</v>
      </c>
      <c r="Y38" s="491" t="s">
        <v>443</v>
      </c>
      <c r="Z38" s="471">
        <f>98800*1*1</f>
        <v>98800</v>
      </c>
      <c r="AA38" s="33"/>
    </row>
    <row r="39" spans="1:27" ht="23.25" customHeight="1" x14ac:dyDescent="0.3">
      <c r="A39" s="400"/>
      <c r="B39" s="322"/>
      <c r="C39" s="492"/>
      <c r="D39" s="464"/>
      <c r="E39" s="465"/>
      <c r="F39" s="465"/>
      <c r="G39" s="465"/>
      <c r="H39" s="465"/>
      <c r="I39" s="465"/>
      <c r="J39" s="465"/>
      <c r="K39" s="465"/>
      <c r="L39" s="465"/>
      <c r="M39" s="465"/>
      <c r="N39" s="465"/>
      <c r="O39" s="465"/>
      <c r="P39" s="465"/>
      <c r="Q39" s="465"/>
      <c r="R39" s="465"/>
      <c r="S39" s="465"/>
      <c r="T39" s="465"/>
      <c r="U39" s="466"/>
      <c r="V39" s="467"/>
      <c r="W39" s="468"/>
      <c r="X39" s="469" t="s">
        <v>100</v>
      </c>
      <c r="Y39" s="491" t="s">
        <v>445</v>
      </c>
      <c r="Z39" s="471">
        <f>95720*1*2</f>
        <v>191440</v>
      </c>
      <c r="AA39" s="33"/>
    </row>
    <row r="40" spans="1:27" ht="23.25" customHeight="1" x14ac:dyDescent="0.3">
      <c r="A40" s="400"/>
      <c r="B40" s="322"/>
      <c r="C40" s="492"/>
      <c r="D40" s="464"/>
      <c r="E40" s="465"/>
      <c r="F40" s="465"/>
      <c r="G40" s="465"/>
      <c r="H40" s="465"/>
      <c r="I40" s="465"/>
      <c r="J40" s="465"/>
      <c r="K40" s="465"/>
      <c r="L40" s="465"/>
      <c r="M40" s="465"/>
      <c r="N40" s="465"/>
      <c r="O40" s="465"/>
      <c r="P40" s="465"/>
      <c r="Q40" s="465"/>
      <c r="R40" s="465"/>
      <c r="S40" s="465"/>
      <c r="T40" s="465"/>
      <c r="U40" s="466"/>
      <c r="V40" s="467"/>
      <c r="W40" s="468"/>
      <c r="X40" s="469" t="s">
        <v>92</v>
      </c>
      <c r="Y40" s="470" t="s">
        <v>113</v>
      </c>
      <c r="Z40" s="471">
        <f>10000*4*25*1</f>
        <v>1000000</v>
      </c>
    </row>
    <row r="41" spans="1:27" ht="23.25" customHeight="1" x14ac:dyDescent="0.3">
      <c r="A41" s="400"/>
      <c r="B41" s="322"/>
      <c r="C41" s="488" t="s">
        <v>114</v>
      </c>
      <c r="D41" s="487">
        <v>23880000</v>
      </c>
      <c r="E41" s="457">
        <v>25005000</v>
      </c>
      <c r="F41" s="457">
        <v>25005000</v>
      </c>
      <c r="G41" s="457">
        <v>23880000</v>
      </c>
      <c r="H41" s="457">
        <v>26154000</v>
      </c>
      <c r="I41" s="457">
        <v>27240000</v>
      </c>
      <c r="J41" s="457">
        <v>29212000</v>
      </c>
      <c r="K41" s="457">
        <v>29291000</v>
      </c>
      <c r="L41" s="457">
        <v>31440000</v>
      </c>
      <c r="M41" s="457">
        <v>35055000</v>
      </c>
      <c r="N41" s="457">
        <v>34257000</v>
      </c>
      <c r="O41" s="457">
        <v>34257000</v>
      </c>
      <c r="P41" s="457">
        <v>34257000</v>
      </c>
      <c r="Q41" s="457">
        <v>34638000</v>
      </c>
      <c r="R41" s="457">
        <v>34977000</v>
      </c>
      <c r="S41" s="457">
        <v>35433000</v>
      </c>
      <c r="T41" s="457">
        <f>SUM(Z41:Z45)</f>
        <v>34873000</v>
      </c>
      <c r="U41" s="458">
        <f>T41-S41</f>
        <v>-560000</v>
      </c>
      <c r="V41" s="459">
        <f>U41/S41</f>
        <v>-1.5804476053396552E-2</v>
      </c>
      <c r="W41" s="460" t="s">
        <v>115</v>
      </c>
      <c r="X41" s="461"/>
      <c r="Y41" s="462" t="s">
        <v>365</v>
      </c>
      <c r="Z41" s="463">
        <v>11794000</v>
      </c>
    </row>
    <row r="42" spans="1:27" ht="23.25" customHeight="1" x14ac:dyDescent="0.3">
      <c r="A42" s="400"/>
      <c r="B42" s="322"/>
      <c r="C42" s="490"/>
      <c r="D42" s="464"/>
      <c r="E42" s="465"/>
      <c r="F42" s="465"/>
      <c r="G42" s="465"/>
      <c r="H42" s="465"/>
      <c r="I42" s="465"/>
      <c r="J42" s="465"/>
      <c r="K42" s="465"/>
      <c r="L42" s="465"/>
      <c r="M42" s="465"/>
      <c r="N42" s="465"/>
      <c r="O42" s="465"/>
      <c r="P42" s="465"/>
      <c r="Q42" s="465"/>
      <c r="R42" s="465"/>
      <c r="S42" s="465"/>
      <c r="T42" s="465"/>
      <c r="U42" s="466"/>
      <c r="V42" s="467"/>
      <c r="W42" s="468" t="s">
        <v>116</v>
      </c>
      <c r="X42" s="469"/>
      <c r="Y42" s="470" t="s">
        <v>366</v>
      </c>
      <c r="Z42" s="471">
        <v>1363000</v>
      </c>
    </row>
    <row r="43" spans="1:27" ht="23.25" customHeight="1" x14ac:dyDescent="0.3">
      <c r="A43" s="400"/>
      <c r="B43" s="322"/>
      <c r="C43" s="322"/>
      <c r="D43" s="464"/>
      <c r="E43" s="465"/>
      <c r="F43" s="465"/>
      <c r="G43" s="465"/>
      <c r="H43" s="465"/>
      <c r="I43" s="465"/>
      <c r="J43" s="465"/>
      <c r="K43" s="465"/>
      <c r="L43" s="465"/>
      <c r="M43" s="465"/>
      <c r="N43" s="465"/>
      <c r="O43" s="465"/>
      <c r="P43" s="465"/>
      <c r="Q43" s="465"/>
      <c r="R43" s="465"/>
      <c r="S43" s="465"/>
      <c r="T43" s="465"/>
      <c r="U43" s="466"/>
      <c r="V43" s="467"/>
      <c r="W43" s="468" t="s">
        <v>117</v>
      </c>
      <c r="X43" s="469"/>
      <c r="Y43" s="470" t="s">
        <v>367</v>
      </c>
      <c r="Z43" s="471">
        <v>15473000</v>
      </c>
    </row>
    <row r="44" spans="1:27" ht="23.25" customHeight="1" x14ac:dyDescent="0.3">
      <c r="A44" s="400"/>
      <c r="B44" s="322"/>
      <c r="C44" s="322"/>
      <c r="D44" s="464"/>
      <c r="E44" s="465"/>
      <c r="F44" s="465"/>
      <c r="G44" s="465"/>
      <c r="H44" s="465"/>
      <c r="I44" s="465"/>
      <c r="J44" s="465"/>
      <c r="K44" s="465"/>
      <c r="L44" s="465"/>
      <c r="M44" s="465"/>
      <c r="N44" s="465"/>
      <c r="O44" s="465"/>
      <c r="P44" s="465"/>
      <c r="Q44" s="465"/>
      <c r="R44" s="465"/>
      <c r="S44" s="465"/>
      <c r="T44" s="465"/>
      <c r="U44" s="466"/>
      <c r="V44" s="467"/>
      <c r="W44" s="468" t="s">
        <v>118</v>
      </c>
      <c r="X44" s="469"/>
      <c r="Y44" s="470" t="s">
        <v>368</v>
      </c>
      <c r="Z44" s="471">
        <v>4042000</v>
      </c>
    </row>
    <row r="45" spans="1:27" ht="23.25" customHeight="1" x14ac:dyDescent="0.3">
      <c r="A45" s="400"/>
      <c r="B45" s="322"/>
      <c r="C45" s="348"/>
      <c r="D45" s="479"/>
      <c r="E45" s="480"/>
      <c r="F45" s="480"/>
      <c r="G45" s="480"/>
      <c r="H45" s="480"/>
      <c r="I45" s="480"/>
      <c r="J45" s="480"/>
      <c r="K45" s="480"/>
      <c r="L45" s="480"/>
      <c r="M45" s="480"/>
      <c r="N45" s="480"/>
      <c r="O45" s="480"/>
      <c r="P45" s="480"/>
      <c r="Q45" s="480"/>
      <c r="R45" s="480"/>
      <c r="S45" s="480"/>
      <c r="T45" s="480"/>
      <c r="U45" s="481"/>
      <c r="V45" s="482"/>
      <c r="W45" s="493" t="s">
        <v>119</v>
      </c>
      <c r="X45" s="494"/>
      <c r="Y45" s="343" t="s">
        <v>369</v>
      </c>
      <c r="Z45" s="485">
        <v>2201000</v>
      </c>
    </row>
    <row r="46" spans="1:27" ht="24" customHeight="1" x14ac:dyDescent="0.3">
      <c r="A46" s="400"/>
      <c r="B46" s="495" t="s">
        <v>28</v>
      </c>
      <c r="C46" s="496"/>
      <c r="D46" s="497">
        <f>SUM(D48)</f>
        <v>11750000</v>
      </c>
      <c r="E46" s="498">
        <f>SUM(E48)</f>
        <v>12600000</v>
      </c>
      <c r="F46" s="498">
        <f>SUM(F48)</f>
        <v>12600000</v>
      </c>
      <c r="G46" s="498">
        <f>SUM(G47:G50)</f>
        <v>11750000</v>
      </c>
      <c r="H46" s="498">
        <f>SUM(H47:H50)</f>
        <v>12900000</v>
      </c>
      <c r="I46" s="498">
        <f>SUM(I47:I49)</f>
        <v>9240000</v>
      </c>
      <c r="J46" s="498">
        <f t="shared" ref="J46:P46" si="3">SUM(J47:J58)</f>
        <v>10600000</v>
      </c>
      <c r="K46" s="498">
        <f t="shared" si="3"/>
        <v>10600000</v>
      </c>
      <c r="L46" s="498">
        <f t="shared" si="3"/>
        <v>10600000</v>
      </c>
      <c r="M46" s="498">
        <f t="shared" si="3"/>
        <v>10640000</v>
      </c>
      <c r="N46" s="498">
        <f t="shared" si="3"/>
        <v>10640000</v>
      </c>
      <c r="O46" s="498">
        <f t="shared" si="3"/>
        <v>10640000</v>
      </c>
      <c r="P46" s="498">
        <f t="shared" si="3"/>
        <v>10640000</v>
      </c>
      <c r="Q46" s="498">
        <v>10640000</v>
      </c>
      <c r="R46" s="498">
        <f>SUM(R47:R58)</f>
        <v>10640000</v>
      </c>
      <c r="S46" s="498">
        <f>SUM(S47:S58)</f>
        <v>10140000</v>
      </c>
      <c r="T46" s="498">
        <f>SUM(T47:T58)</f>
        <v>10380000</v>
      </c>
      <c r="U46" s="499">
        <f>T46-S46</f>
        <v>240000</v>
      </c>
      <c r="V46" s="500">
        <f>U46/S46</f>
        <v>2.3668639053254437E-2</v>
      </c>
      <c r="W46" s="451"/>
      <c r="X46" s="452"/>
      <c r="Y46" s="453"/>
      <c r="Z46" s="454"/>
    </row>
    <row r="47" spans="1:27" ht="24" customHeight="1" x14ac:dyDescent="0.3">
      <c r="A47" s="400"/>
      <c r="B47" s="345"/>
      <c r="C47" s="394" t="s">
        <v>29</v>
      </c>
      <c r="D47" s="497"/>
      <c r="E47" s="498"/>
      <c r="F47" s="498"/>
      <c r="G47" s="498">
        <v>0</v>
      </c>
      <c r="H47" s="498">
        <v>300000</v>
      </c>
      <c r="I47" s="498">
        <v>1440000</v>
      </c>
      <c r="J47" s="498">
        <v>1200000</v>
      </c>
      <c r="K47" s="498">
        <v>1200000</v>
      </c>
      <c r="L47" s="498">
        <v>1200000</v>
      </c>
      <c r="M47" s="498">
        <v>1200000</v>
      </c>
      <c r="N47" s="498">
        <v>1200000</v>
      </c>
      <c r="O47" s="498">
        <v>1200000</v>
      </c>
      <c r="P47" s="498">
        <v>1200000</v>
      </c>
      <c r="Q47" s="498">
        <v>1200000</v>
      </c>
      <c r="R47" s="498">
        <v>1200000</v>
      </c>
      <c r="S47" s="498">
        <v>1200000</v>
      </c>
      <c r="T47" s="498">
        <f>SUM(Z47:Z47)</f>
        <v>1200000</v>
      </c>
      <c r="U47" s="499">
        <f>T47-S47</f>
        <v>0</v>
      </c>
      <c r="V47" s="500">
        <f>U47/S47</f>
        <v>0</v>
      </c>
      <c r="W47" s="451"/>
      <c r="X47" s="452"/>
      <c r="Y47" s="453" t="s">
        <v>96</v>
      </c>
      <c r="Z47" s="454">
        <f>100000*12</f>
        <v>1200000</v>
      </c>
    </row>
    <row r="48" spans="1:27" ht="24" customHeight="1" x14ac:dyDescent="0.3">
      <c r="A48" s="400"/>
      <c r="B48" s="322"/>
      <c r="C48" s="322" t="s">
        <v>30</v>
      </c>
      <c r="D48" s="464">
        <v>11750000</v>
      </c>
      <c r="E48" s="465">
        <v>12600000</v>
      </c>
      <c r="F48" s="465">
        <v>12600000</v>
      </c>
      <c r="G48" s="465">
        <v>11750000</v>
      </c>
      <c r="H48" s="465">
        <v>12600000</v>
      </c>
      <c r="I48" s="465">
        <v>7800000</v>
      </c>
      <c r="J48" s="465">
        <v>7800000</v>
      </c>
      <c r="K48" s="465">
        <v>7800000</v>
      </c>
      <c r="L48" s="465">
        <v>7800000</v>
      </c>
      <c r="M48" s="465">
        <v>7800000</v>
      </c>
      <c r="N48" s="465">
        <v>7800000</v>
      </c>
      <c r="O48" s="465">
        <v>7800000</v>
      </c>
      <c r="P48" s="465">
        <v>7800000</v>
      </c>
      <c r="Q48" s="465">
        <v>7800000</v>
      </c>
      <c r="R48" s="465">
        <v>7800000</v>
      </c>
      <c r="S48" s="465">
        <v>7100000</v>
      </c>
      <c r="T48" s="465">
        <f>SUM(Z48:Z50)</f>
        <v>7000000</v>
      </c>
      <c r="U48" s="466">
        <f>T48-S48</f>
        <v>-100000</v>
      </c>
      <c r="V48" s="467">
        <f>U48/S48</f>
        <v>-1.4084507042253521E-2</v>
      </c>
      <c r="W48" s="468" t="s">
        <v>85</v>
      </c>
      <c r="X48" s="501"/>
      <c r="Y48" s="470" t="s">
        <v>108</v>
      </c>
      <c r="Z48" s="471">
        <f>200000*12</f>
        <v>2400000</v>
      </c>
    </row>
    <row r="49" spans="1:26" ht="24" customHeight="1" x14ac:dyDescent="0.3">
      <c r="A49" s="400"/>
      <c r="B49" s="322"/>
      <c r="C49" s="322"/>
      <c r="D49" s="464"/>
      <c r="E49" s="465"/>
      <c r="F49" s="465"/>
      <c r="G49" s="465"/>
      <c r="H49" s="465"/>
      <c r="I49" s="465"/>
      <c r="J49" s="465"/>
      <c r="K49" s="465"/>
      <c r="L49" s="465"/>
      <c r="M49" s="465"/>
      <c r="N49" s="465"/>
      <c r="O49" s="465"/>
      <c r="P49" s="465"/>
      <c r="Q49" s="465"/>
      <c r="R49" s="465"/>
      <c r="S49" s="465"/>
      <c r="T49" s="465"/>
      <c r="U49" s="466"/>
      <c r="V49" s="467"/>
      <c r="W49" s="468" t="s">
        <v>120</v>
      </c>
      <c r="X49" s="501"/>
      <c r="Y49" s="470" t="s">
        <v>121</v>
      </c>
      <c r="Z49" s="471">
        <f>150000*12</f>
        <v>1800000</v>
      </c>
    </row>
    <row r="50" spans="1:26" ht="24" customHeight="1" x14ac:dyDescent="0.3">
      <c r="A50" s="400"/>
      <c r="B50" s="322"/>
      <c r="C50" s="348"/>
      <c r="D50" s="479"/>
      <c r="E50" s="480"/>
      <c r="F50" s="480"/>
      <c r="G50" s="480"/>
      <c r="H50" s="480"/>
      <c r="I50" s="480"/>
      <c r="J50" s="480"/>
      <c r="K50" s="480"/>
      <c r="L50" s="480"/>
      <c r="M50" s="480"/>
      <c r="N50" s="480"/>
      <c r="O50" s="480"/>
      <c r="P50" s="480"/>
      <c r="Q50" s="480"/>
      <c r="R50" s="480"/>
      <c r="S50" s="480"/>
      <c r="T50" s="480"/>
      <c r="U50" s="481"/>
      <c r="V50" s="482"/>
      <c r="W50" s="493" t="s">
        <v>122</v>
      </c>
      <c r="X50" s="502"/>
      <c r="Y50" s="343" t="s">
        <v>343</v>
      </c>
      <c r="Z50" s="485">
        <f>(100000*2*12)+(100000*1*4)</f>
        <v>2800000</v>
      </c>
    </row>
    <row r="51" spans="1:26" ht="24" customHeight="1" x14ac:dyDescent="0.3">
      <c r="A51" s="400"/>
      <c r="B51" s="322"/>
      <c r="C51" s="323" t="s">
        <v>31</v>
      </c>
      <c r="D51" s="464"/>
      <c r="E51" s="465"/>
      <c r="F51" s="465"/>
      <c r="G51" s="465"/>
      <c r="H51" s="465"/>
      <c r="I51" s="465">
        <v>0</v>
      </c>
      <c r="J51" s="465">
        <v>1600000</v>
      </c>
      <c r="K51" s="465">
        <v>1600000</v>
      </c>
      <c r="L51" s="465">
        <v>1600000</v>
      </c>
      <c r="M51" s="465">
        <v>1640000</v>
      </c>
      <c r="N51" s="465">
        <v>1640000</v>
      </c>
      <c r="O51" s="465">
        <v>1640000</v>
      </c>
      <c r="P51" s="465">
        <v>1640000</v>
      </c>
      <c r="Q51" s="465">
        <v>1640000</v>
      </c>
      <c r="R51" s="465">
        <v>1640000</v>
      </c>
      <c r="S51" s="465">
        <v>1840000</v>
      </c>
      <c r="T51" s="465">
        <f>SUM(Z51:Z58)</f>
        <v>2180000</v>
      </c>
      <c r="U51" s="466">
        <f>T51-S51</f>
        <v>340000</v>
      </c>
      <c r="V51" s="467">
        <f>U51/S51</f>
        <v>0.18478260869565216</v>
      </c>
      <c r="W51" s="468" t="s">
        <v>123</v>
      </c>
      <c r="X51" s="501"/>
      <c r="Y51" s="470" t="s">
        <v>124</v>
      </c>
      <c r="Z51" s="471">
        <f>50000*4</f>
        <v>200000</v>
      </c>
    </row>
    <row r="52" spans="1:26" ht="24" customHeight="1" x14ac:dyDescent="0.3">
      <c r="A52" s="400"/>
      <c r="B52" s="322"/>
      <c r="C52" s="322"/>
      <c r="D52" s="464"/>
      <c r="E52" s="465"/>
      <c r="F52" s="465"/>
      <c r="G52" s="465"/>
      <c r="H52" s="465"/>
      <c r="I52" s="465"/>
      <c r="J52" s="465"/>
      <c r="K52" s="465"/>
      <c r="L52" s="465"/>
      <c r="M52" s="465"/>
      <c r="N52" s="465"/>
      <c r="O52" s="465"/>
      <c r="P52" s="465"/>
      <c r="Q52" s="465"/>
      <c r="R52" s="465"/>
      <c r="S52" s="465"/>
      <c r="T52" s="465"/>
      <c r="U52" s="466"/>
      <c r="V52" s="467"/>
      <c r="W52" s="468" t="s">
        <v>125</v>
      </c>
      <c r="X52" s="501"/>
      <c r="Y52" s="470" t="s">
        <v>427</v>
      </c>
      <c r="Z52" s="471">
        <f>100000*5</f>
        <v>500000</v>
      </c>
    </row>
    <row r="53" spans="1:26" ht="24" customHeight="1" x14ac:dyDescent="0.3">
      <c r="A53" s="400"/>
      <c r="B53" s="322"/>
      <c r="C53" s="322"/>
      <c r="D53" s="464"/>
      <c r="E53" s="465"/>
      <c r="F53" s="465"/>
      <c r="G53" s="465"/>
      <c r="H53" s="465"/>
      <c r="I53" s="465"/>
      <c r="J53" s="465"/>
      <c r="K53" s="465"/>
      <c r="L53" s="465"/>
      <c r="M53" s="465"/>
      <c r="N53" s="465"/>
      <c r="O53" s="465"/>
      <c r="P53" s="465"/>
      <c r="Q53" s="465"/>
      <c r="R53" s="465"/>
      <c r="S53" s="465"/>
      <c r="T53" s="465"/>
      <c r="U53" s="466"/>
      <c r="V53" s="467"/>
      <c r="W53" s="468" t="s">
        <v>405</v>
      </c>
      <c r="X53" s="501"/>
      <c r="Y53" s="470" t="s">
        <v>404</v>
      </c>
      <c r="Z53" s="471">
        <f>50000*4</f>
        <v>200000</v>
      </c>
    </row>
    <row r="54" spans="1:26" ht="24" customHeight="1" x14ac:dyDescent="0.3">
      <c r="A54" s="400"/>
      <c r="B54" s="322"/>
      <c r="C54" s="322"/>
      <c r="D54" s="464"/>
      <c r="E54" s="465"/>
      <c r="F54" s="465"/>
      <c r="G54" s="465"/>
      <c r="H54" s="465"/>
      <c r="I54" s="465"/>
      <c r="J54" s="465"/>
      <c r="K54" s="465"/>
      <c r="L54" s="465"/>
      <c r="M54" s="465"/>
      <c r="N54" s="465"/>
      <c r="O54" s="465"/>
      <c r="P54" s="465"/>
      <c r="Q54" s="465"/>
      <c r="R54" s="465"/>
      <c r="S54" s="465"/>
      <c r="T54" s="465"/>
      <c r="U54" s="466"/>
      <c r="V54" s="467"/>
      <c r="W54" s="468" t="s">
        <v>334</v>
      </c>
      <c r="X54" s="501"/>
      <c r="Y54" s="470" t="s">
        <v>335</v>
      </c>
      <c r="Z54" s="471">
        <f>50000*4</f>
        <v>200000</v>
      </c>
    </row>
    <row r="55" spans="1:26" ht="24" customHeight="1" x14ac:dyDescent="0.3">
      <c r="A55" s="400"/>
      <c r="B55" s="322"/>
      <c r="C55" s="322"/>
      <c r="D55" s="464"/>
      <c r="E55" s="465"/>
      <c r="F55" s="465"/>
      <c r="G55" s="465"/>
      <c r="H55" s="465"/>
      <c r="I55" s="465"/>
      <c r="J55" s="465"/>
      <c r="K55" s="465"/>
      <c r="L55" s="465"/>
      <c r="M55" s="465"/>
      <c r="N55" s="465"/>
      <c r="O55" s="465"/>
      <c r="P55" s="465"/>
      <c r="Q55" s="465"/>
      <c r="R55" s="465"/>
      <c r="S55" s="465"/>
      <c r="T55" s="465"/>
      <c r="U55" s="466"/>
      <c r="V55" s="467"/>
      <c r="W55" s="468" t="s">
        <v>448</v>
      </c>
      <c r="X55" s="503"/>
      <c r="Y55" s="474" t="s">
        <v>124</v>
      </c>
      <c r="Z55" s="471">
        <f>50000*4</f>
        <v>200000</v>
      </c>
    </row>
    <row r="56" spans="1:26" ht="24" customHeight="1" x14ac:dyDescent="0.3">
      <c r="A56" s="400"/>
      <c r="B56" s="320"/>
      <c r="C56" s="322"/>
      <c r="D56" s="464"/>
      <c r="E56" s="465"/>
      <c r="F56" s="465"/>
      <c r="G56" s="465"/>
      <c r="H56" s="465"/>
      <c r="I56" s="465"/>
      <c r="J56" s="465"/>
      <c r="K56" s="465"/>
      <c r="L56" s="465"/>
      <c r="M56" s="465"/>
      <c r="N56" s="465"/>
      <c r="O56" s="465"/>
      <c r="P56" s="465"/>
      <c r="Q56" s="465"/>
      <c r="R56" s="465"/>
      <c r="S56" s="465"/>
      <c r="T56" s="465"/>
      <c r="U56" s="466"/>
      <c r="V56" s="467"/>
      <c r="W56" s="468" t="s">
        <v>126</v>
      </c>
      <c r="X56" s="503" t="s">
        <v>127</v>
      </c>
      <c r="Y56" s="474" t="s">
        <v>124</v>
      </c>
      <c r="Z56" s="471">
        <f>50000*4</f>
        <v>200000</v>
      </c>
    </row>
    <row r="57" spans="1:26" ht="24" customHeight="1" x14ac:dyDescent="0.3">
      <c r="A57" s="400"/>
      <c r="B57" s="320"/>
      <c r="C57" s="322"/>
      <c r="D57" s="464"/>
      <c r="E57" s="465"/>
      <c r="F57" s="465"/>
      <c r="G57" s="465"/>
      <c r="H57" s="465"/>
      <c r="I57" s="465"/>
      <c r="J57" s="465"/>
      <c r="K57" s="465"/>
      <c r="L57" s="465"/>
      <c r="M57" s="465"/>
      <c r="N57" s="465"/>
      <c r="O57" s="465"/>
      <c r="P57" s="465"/>
      <c r="Q57" s="465"/>
      <c r="R57" s="465"/>
      <c r="S57" s="465"/>
      <c r="T57" s="465"/>
      <c r="U57" s="466"/>
      <c r="V57" s="467"/>
      <c r="W57" s="468"/>
      <c r="X57" s="503" t="s">
        <v>128</v>
      </c>
      <c r="Y57" s="474" t="s">
        <v>129</v>
      </c>
      <c r="Z57" s="471">
        <f>120000*4</f>
        <v>480000</v>
      </c>
    </row>
    <row r="58" spans="1:26" ht="24" customHeight="1" x14ac:dyDescent="0.3">
      <c r="A58" s="400"/>
      <c r="B58" s="321"/>
      <c r="C58" s="348"/>
      <c r="D58" s="479"/>
      <c r="E58" s="480"/>
      <c r="F58" s="480"/>
      <c r="G58" s="480"/>
      <c r="H58" s="480"/>
      <c r="I58" s="480"/>
      <c r="J58" s="480"/>
      <c r="K58" s="480"/>
      <c r="L58" s="480"/>
      <c r="M58" s="480"/>
      <c r="N58" s="480"/>
      <c r="O58" s="480"/>
      <c r="P58" s="480"/>
      <c r="Q58" s="480"/>
      <c r="R58" s="480"/>
      <c r="S58" s="480"/>
      <c r="T58" s="480"/>
      <c r="U58" s="481"/>
      <c r="V58" s="482"/>
      <c r="W58" s="493" t="s">
        <v>130</v>
      </c>
      <c r="X58" s="504"/>
      <c r="Y58" s="505" t="s">
        <v>124</v>
      </c>
      <c r="Z58" s="485">
        <f>50000*4</f>
        <v>200000</v>
      </c>
    </row>
    <row r="59" spans="1:26" ht="23.25" customHeight="1" x14ac:dyDescent="0.3">
      <c r="A59" s="400"/>
      <c r="B59" s="388" t="s">
        <v>32</v>
      </c>
      <c r="C59" s="446"/>
      <c r="D59" s="447">
        <f>SUM(D60:D113)</f>
        <v>104555000</v>
      </c>
      <c r="E59" s="448">
        <f>SUM(E60:E113)</f>
        <v>99029000</v>
      </c>
      <c r="F59" s="448">
        <f>SUM(F60:F113)</f>
        <v>99161000</v>
      </c>
      <c r="G59" s="448">
        <f t="shared" ref="G59:S59" si="4">SUM(G60:G114)</f>
        <v>104555000</v>
      </c>
      <c r="H59" s="448">
        <f t="shared" si="4"/>
        <v>96576000</v>
      </c>
      <c r="I59" s="448">
        <f t="shared" si="4"/>
        <v>109153000</v>
      </c>
      <c r="J59" s="448">
        <f t="shared" si="4"/>
        <v>106061000</v>
      </c>
      <c r="K59" s="448">
        <f t="shared" si="4"/>
        <v>117559000</v>
      </c>
      <c r="L59" s="448">
        <f t="shared" si="4"/>
        <v>120269000</v>
      </c>
      <c r="M59" s="448">
        <f t="shared" si="4"/>
        <v>119144000</v>
      </c>
      <c r="N59" s="448">
        <f t="shared" si="4"/>
        <v>121886000</v>
      </c>
      <c r="O59" s="448">
        <f t="shared" si="4"/>
        <v>108616000</v>
      </c>
      <c r="P59" s="448">
        <f t="shared" si="4"/>
        <v>101646000</v>
      </c>
      <c r="Q59" s="448">
        <f t="shared" ref="Q59:R59" si="5">SUM(Q60:Q114)</f>
        <v>131460000</v>
      </c>
      <c r="R59" s="448">
        <f t="shared" si="5"/>
        <v>127360000</v>
      </c>
      <c r="S59" s="448">
        <f t="shared" si="4"/>
        <v>128267000</v>
      </c>
      <c r="T59" s="448">
        <f t="shared" ref="T59" si="6">SUM(T60:T114)</f>
        <v>131688000</v>
      </c>
      <c r="U59" s="506">
        <f>T59-S59</f>
        <v>3421000</v>
      </c>
      <c r="V59" s="507">
        <f>U59/S59</f>
        <v>2.6670928609852883E-2</v>
      </c>
      <c r="W59" s="451"/>
      <c r="X59" s="452"/>
      <c r="Y59" s="453"/>
      <c r="Z59" s="454"/>
    </row>
    <row r="60" spans="1:26" ht="23.25" customHeight="1" x14ac:dyDescent="0.3">
      <c r="A60" s="400"/>
      <c r="B60" s="323"/>
      <c r="C60" s="508" t="s">
        <v>33</v>
      </c>
      <c r="D60" s="487">
        <v>600000</v>
      </c>
      <c r="E60" s="457">
        <v>600000</v>
      </c>
      <c r="F60" s="457">
        <v>600000</v>
      </c>
      <c r="G60" s="457">
        <v>600000</v>
      </c>
      <c r="H60" s="457">
        <v>600000</v>
      </c>
      <c r="I60" s="457">
        <v>1800000</v>
      </c>
      <c r="J60" s="457">
        <v>1800000</v>
      </c>
      <c r="K60" s="457">
        <v>2400000</v>
      </c>
      <c r="L60" s="457">
        <v>2400000</v>
      </c>
      <c r="M60" s="457">
        <v>2400000</v>
      </c>
      <c r="N60" s="457">
        <v>2400000</v>
      </c>
      <c r="O60" s="457">
        <v>1200000</v>
      </c>
      <c r="P60" s="457">
        <v>1200000</v>
      </c>
      <c r="Q60" s="457">
        <v>2400000</v>
      </c>
      <c r="R60" s="457">
        <v>2400000</v>
      </c>
      <c r="S60" s="457">
        <v>2400000</v>
      </c>
      <c r="T60" s="457">
        <f>Z60</f>
        <v>2400000</v>
      </c>
      <c r="U60" s="506">
        <f>T60-S60</f>
        <v>0</v>
      </c>
      <c r="V60" s="507">
        <f>U60/S60</f>
        <v>0</v>
      </c>
      <c r="W60" s="509" t="s">
        <v>131</v>
      </c>
      <c r="X60" s="510"/>
      <c r="Y60" s="453" t="s">
        <v>132</v>
      </c>
      <c r="Z60" s="454">
        <f>200000*12</f>
        <v>2400000</v>
      </c>
    </row>
    <row r="61" spans="1:26" ht="23.25" customHeight="1" x14ac:dyDescent="0.3">
      <c r="A61" s="400"/>
      <c r="B61" s="322"/>
      <c r="C61" s="488" t="s">
        <v>133</v>
      </c>
      <c r="D61" s="487">
        <v>18372000</v>
      </c>
      <c r="E61" s="457">
        <v>16236000</v>
      </c>
      <c r="F61" s="457">
        <v>16368000</v>
      </c>
      <c r="G61" s="457">
        <v>18372000</v>
      </c>
      <c r="H61" s="457">
        <v>18568000</v>
      </c>
      <c r="I61" s="457">
        <v>23440000</v>
      </c>
      <c r="J61" s="457">
        <v>18868000</v>
      </c>
      <c r="K61" s="457">
        <v>23366000</v>
      </c>
      <c r="L61" s="457">
        <v>24446000</v>
      </c>
      <c r="M61" s="457">
        <v>25746000</v>
      </c>
      <c r="N61" s="457">
        <v>28478000</v>
      </c>
      <c r="O61" s="457">
        <v>28478000</v>
      </c>
      <c r="P61" s="457">
        <v>29178000</v>
      </c>
      <c r="Q61" s="457">
        <v>33482000</v>
      </c>
      <c r="R61" s="457">
        <v>33482000</v>
      </c>
      <c r="S61" s="457">
        <v>33482000</v>
      </c>
      <c r="T61" s="457">
        <f>SUM(Z61:Z78)</f>
        <v>36270000</v>
      </c>
      <c r="U61" s="458">
        <f>T61-S61</f>
        <v>2788000</v>
      </c>
      <c r="V61" s="459">
        <f>U61/S61</f>
        <v>8.3268621946120308E-2</v>
      </c>
      <c r="W61" s="511" t="s">
        <v>134</v>
      </c>
      <c r="X61" s="461"/>
      <c r="Y61" s="462" t="s">
        <v>135</v>
      </c>
      <c r="Z61" s="463">
        <f>300000*12</f>
        <v>3600000</v>
      </c>
    </row>
    <row r="62" spans="1:26" ht="23.25" customHeight="1" x14ac:dyDescent="0.3">
      <c r="A62" s="400"/>
      <c r="B62" s="322"/>
      <c r="C62" s="490"/>
      <c r="D62" s="464"/>
      <c r="E62" s="465"/>
      <c r="F62" s="465"/>
      <c r="G62" s="465"/>
      <c r="H62" s="465"/>
      <c r="I62" s="465"/>
      <c r="J62" s="465"/>
      <c r="K62" s="465"/>
      <c r="L62" s="465"/>
      <c r="M62" s="465"/>
      <c r="N62" s="465"/>
      <c r="O62" s="465"/>
      <c r="P62" s="465"/>
      <c r="Q62" s="465"/>
      <c r="R62" s="465"/>
      <c r="S62" s="465"/>
      <c r="T62" s="465"/>
      <c r="U62" s="466"/>
      <c r="V62" s="467"/>
      <c r="W62" s="472" t="s">
        <v>136</v>
      </c>
      <c r="X62" s="469"/>
      <c r="Y62" s="470" t="s">
        <v>137</v>
      </c>
      <c r="Z62" s="471">
        <f>132000*12</f>
        <v>1584000</v>
      </c>
    </row>
    <row r="63" spans="1:26" ht="23.25" customHeight="1" x14ac:dyDescent="0.3">
      <c r="A63" s="400"/>
      <c r="B63" s="322"/>
      <c r="C63" s="490"/>
      <c r="D63" s="464"/>
      <c r="E63" s="465"/>
      <c r="F63" s="465"/>
      <c r="G63" s="465"/>
      <c r="H63" s="465"/>
      <c r="I63" s="465"/>
      <c r="J63" s="465"/>
      <c r="K63" s="465"/>
      <c r="L63" s="465"/>
      <c r="M63" s="465"/>
      <c r="N63" s="465"/>
      <c r="O63" s="465"/>
      <c r="P63" s="465"/>
      <c r="Q63" s="465"/>
      <c r="R63" s="465"/>
      <c r="S63" s="465"/>
      <c r="T63" s="465"/>
      <c r="U63" s="466"/>
      <c r="V63" s="467"/>
      <c r="W63" s="468" t="s">
        <v>138</v>
      </c>
      <c r="X63" s="469"/>
      <c r="Y63" s="470" t="s">
        <v>139</v>
      </c>
      <c r="Z63" s="471">
        <f>15000*12*4</f>
        <v>720000</v>
      </c>
    </row>
    <row r="64" spans="1:26" ht="23.25" customHeight="1" x14ac:dyDescent="0.3">
      <c r="A64" s="400"/>
      <c r="B64" s="322"/>
      <c r="C64" s="492"/>
      <c r="D64" s="464"/>
      <c r="E64" s="465"/>
      <c r="F64" s="465"/>
      <c r="G64" s="465"/>
      <c r="H64" s="465"/>
      <c r="I64" s="465"/>
      <c r="J64" s="465"/>
      <c r="K64" s="465"/>
      <c r="L64" s="465"/>
      <c r="M64" s="465"/>
      <c r="N64" s="465"/>
      <c r="O64" s="465"/>
      <c r="P64" s="465"/>
      <c r="Q64" s="465"/>
      <c r="R64" s="465"/>
      <c r="S64" s="465"/>
      <c r="T64" s="465"/>
      <c r="U64" s="466"/>
      <c r="V64" s="467"/>
      <c r="W64" s="468" t="s">
        <v>140</v>
      </c>
      <c r="X64" s="469"/>
      <c r="Y64" s="470" t="s">
        <v>141</v>
      </c>
      <c r="Z64" s="471">
        <f>300000*12</f>
        <v>3600000</v>
      </c>
    </row>
    <row r="65" spans="1:26" ht="23.25" customHeight="1" x14ac:dyDescent="0.3">
      <c r="A65" s="400"/>
      <c r="B65" s="322"/>
      <c r="C65" s="492"/>
      <c r="D65" s="464"/>
      <c r="E65" s="465"/>
      <c r="F65" s="465"/>
      <c r="G65" s="465"/>
      <c r="H65" s="465"/>
      <c r="I65" s="465"/>
      <c r="J65" s="465"/>
      <c r="K65" s="465"/>
      <c r="L65" s="465"/>
      <c r="M65" s="465"/>
      <c r="N65" s="465"/>
      <c r="O65" s="465"/>
      <c r="P65" s="465"/>
      <c r="Q65" s="465"/>
      <c r="R65" s="465"/>
      <c r="S65" s="465"/>
      <c r="T65" s="465"/>
      <c r="U65" s="466"/>
      <c r="V65" s="467"/>
      <c r="W65" s="468" t="s">
        <v>142</v>
      </c>
      <c r="X65" s="469"/>
      <c r="Y65" s="470" t="s">
        <v>143</v>
      </c>
      <c r="Z65" s="471">
        <f>40000*3*12</f>
        <v>1440000</v>
      </c>
    </row>
    <row r="66" spans="1:26" ht="23.25" customHeight="1" x14ac:dyDescent="0.3">
      <c r="A66" s="400"/>
      <c r="B66" s="322"/>
      <c r="C66" s="492"/>
      <c r="D66" s="464"/>
      <c r="E66" s="465"/>
      <c r="F66" s="465"/>
      <c r="G66" s="465"/>
      <c r="H66" s="465"/>
      <c r="I66" s="465"/>
      <c r="J66" s="465"/>
      <c r="K66" s="465"/>
      <c r="L66" s="465"/>
      <c r="M66" s="465"/>
      <c r="N66" s="465"/>
      <c r="O66" s="465"/>
      <c r="P66" s="465"/>
      <c r="Q66" s="465"/>
      <c r="R66" s="465"/>
      <c r="S66" s="465"/>
      <c r="T66" s="465"/>
      <c r="U66" s="466"/>
      <c r="V66" s="467"/>
      <c r="W66" s="468" t="s">
        <v>144</v>
      </c>
      <c r="X66" s="469" t="s">
        <v>145</v>
      </c>
      <c r="Y66" s="470" t="s">
        <v>146</v>
      </c>
      <c r="Z66" s="471">
        <f>83000*4</f>
        <v>332000</v>
      </c>
    </row>
    <row r="67" spans="1:26" ht="23.25" customHeight="1" x14ac:dyDescent="0.3">
      <c r="A67" s="400"/>
      <c r="B67" s="322"/>
      <c r="C67" s="492"/>
      <c r="D67" s="464"/>
      <c r="E67" s="465"/>
      <c r="F67" s="465"/>
      <c r="G67" s="465"/>
      <c r="H67" s="465"/>
      <c r="I67" s="465"/>
      <c r="J67" s="465"/>
      <c r="K67" s="465"/>
      <c r="L67" s="465"/>
      <c r="M67" s="465"/>
      <c r="N67" s="465"/>
      <c r="O67" s="465"/>
      <c r="P67" s="465"/>
      <c r="Q67" s="465"/>
      <c r="R67" s="465"/>
      <c r="S67" s="465"/>
      <c r="T67" s="465"/>
      <c r="U67" s="466"/>
      <c r="V67" s="467"/>
      <c r="W67" s="468" t="s">
        <v>147</v>
      </c>
      <c r="X67" s="469"/>
      <c r="Y67" s="470" t="s">
        <v>400</v>
      </c>
      <c r="Z67" s="471">
        <f>1300000*1</f>
        <v>1300000</v>
      </c>
    </row>
    <row r="68" spans="1:26" ht="23.25" customHeight="1" x14ac:dyDescent="0.3">
      <c r="A68" s="400"/>
      <c r="B68" s="322"/>
      <c r="C68" s="492"/>
      <c r="D68" s="464"/>
      <c r="E68" s="465"/>
      <c r="F68" s="465"/>
      <c r="G68" s="465"/>
      <c r="H68" s="465"/>
      <c r="I68" s="465"/>
      <c r="J68" s="465"/>
      <c r="K68" s="465"/>
      <c r="L68" s="465"/>
      <c r="M68" s="465"/>
      <c r="N68" s="465"/>
      <c r="O68" s="465"/>
      <c r="P68" s="465"/>
      <c r="Q68" s="465"/>
      <c r="R68" s="465"/>
      <c r="S68" s="465"/>
      <c r="T68" s="465"/>
      <c r="U68" s="466"/>
      <c r="V68" s="467"/>
      <c r="W68" s="468" t="s">
        <v>148</v>
      </c>
      <c r="X68" s="469"/>
      <c r="Y68" s="470" t="s">
        <v>141</v>
      </c>
      <c r="Z68" s="471">
        <f>300000*12</f>
        <v>3600000</v>
      </c>
    </row>
    <row r="69" spans="1:26" ht="23.25" customHeight="1" x14ac:dyDescent="0.3">
      <c r="A69" s="400"/>
      <c r="B69" s="322"/>
      <c r="C69" s="492"/>
      <c r="D69" s="464"/>
      <c r="E69" s="465"/>
      <c r="F69" s="465"/>
      <c r="G69" s="465"/>
      <c r="H69" s="465"/>
      <c r="I69" s="465"/>
      <c r="J69" s="465"/>
      <c r="K69" s="465"/>
      <c r="L69" s="465"/>
      <c r="M69" s="465"/>
      <c r="N69" s="465"/>
      <c r="O69" s="465"/>
      <c r="P69" s="465"/>
      <c r="Q69" s="465"/>
      <c r="R69" s="465"/>
      <c r="S69" s="465"/>
      <c r="T69" s="465"/>
      <c r="U69" s="466"/>
      <c r="V69" s="467"/>
      <c r="W69" s="468" t="s">
        <v>398</v>
      </c>
      <c r="X69" s="469"/>
      <c r="Y69" s="470" t="s">
        <v>399</v>
      </c>
      <c r="Z69" s="471">
        <f>70000*1</f>
        <v>70000</v>
      </c>
    </row>
    <row r="70" spans="1:26" ht="23.25" customHeight="1" x14ac:dyDescent="0.3">
      <c r="A70" s="400"/>
      <c r="B70" s="322"/>
      <c r="C70" s="492"/>
      <c r="D70" s="464"/>
      <c r="E70" s="465"/>
      <c r="F70" s="465"/>
      <c r="G70" s="465"/>
      <c r="H70" s="465"/>
      <c r="I70" s="465"/>
      <c r="J70" s="465"/>
      <c r="K70" s="465"/>
      <c r="L70" s="465"/>
      <c r="M70" s="465"/>
      <c r="N70" s="465"/>
      <c r="O70" s="465"/>
      <c r="P70" s="465"/>
      <c r="Q70" s="465"/>
      <c r="R70" s="465"/>
      <c r="S70" s="465"/>
      <c r="T70" s="465"/>
      <c r="U70" s="466"/>
      <c r="V70" s="467"/>
      <c r="W70" s="468" t="s">
        <v>371</v>
      </c>
      <c r="X70" s="469"/>
      <c r="Y70" s="470" t="s">
        <v>276</v>
      </c>
      <c r="Z70" s="471">
        <f>1000000*1</f>
        <v>1000000</v>
      </c>
    </row>
    <row r="71" spans="1:26" ht="23.25" customHeight="1" x14ac:dyDescent="0.3">
      <c r="A71" s="400"/>
      <c r="B71" s="322"/>
      <c r="C71" s="492"/>
      <c r="D71" s="464"/>
      <c r="E71" s="465"/>
      <c r="F71" s="465"/>
      <c r="G71" s="465"/>
      <c r="H71" s="465"/>
      <c r="I71" s="465"/>
      <c r="J71" s="465"/>
      <c r="K71" s="465"/>
      <c r="L71" s="465"/>
      <c r="M71" s="465"/>
      <c r="N71" s="465"/>
      <c r="O71" s="465"/>
      <c r="P71" s="465"/>
      <c r="Q71" s="465"/>
      <c r="R71" s="465"/>
      <c r="S71" s="465"/>
      <c r="T71" s="465"/>
      <c r="U71" s="466"/>
      <c r="V71" s="467"/>
      <c r="W71" s="468" t="s">
        <v>149</v>
      </c>
      <c r="X71" s="469"/>
      <c r="Y71" s="470" t="s">
        <v>374</v>
      </c>
      <c r="Z71" s="471">
        <f>772000*1</f>
        <v>772000</v>
      </c>
    </row>
    <row r="72" spans="1:26" ht="23.25" customHeight="1" x14ac:dyDescent="0.3">
      <c r="A72" s="400"/>
      <c r="B72" s="322"/>
      <c r="C72" s="322"/>
      <c r="D72" s="464"/>
      <c r="E72" s="465"/>
      <c r="F72" s="465"/>
      <c r="G72" s="465"/>
      <c r="H72" s="465"/>
      <c r="I72" s="465"/>
      <c r="J72" s="465"/>
      <c r="K72" s="465"/>
      <c r="L72" s="465"/>
      <c r="M72" s="465"/>
      <c r="N72" s="465"/>
      <c r="O72" s="465"/>
      <c r="P72" s="465"/>
      <c r="Q72" s="465"/>
      <c r="R72" s="465"/>
      <c r="S72" s="465"/>
      <c r="T72" s="465"/>
      <c r="U72" s="466"/>
      <c r="V72" s="467"/>
      <c r="W72" s="493" t="s">
        <v>150</v>
      </c>
      <c r="X72" s="494"/>
      <c r="Y72" s="343" t="s">
        <v>151</v>
      </c>
      <c r="Z72" s="485">
        <f>800000*12</f>
        <v>9600000</v>
      </c>
    </row>
    <row r="73" spans="1:26" ht="23.25" customHeight="1" x14ac:dyDescent="0.3">
      <c r="A73" s="400"/>
      <c r="B73" s="322"/>
      <c r="C73" s="322"/>
      <c r="D73" s="464"/>
      <c r="E73" s="465"/>
      <c r="F73" s="465"/>
      <c r="G73" s="465"/>
      <c r="H73" s="465"/>
      <c r="I73" s="465"/>
      <c r="J73" s="465"/>
      <c r="K73" s="465"/>
      <c r="L73" s="465"/>
      <c r="M73" s="465"/>
      <c r="N73" s="465"/>
      <c r="O73" s="465"/>
      <c r="P73" s="465"/>
      <c r="Q73" s="465"/>
      <c r="R73" s="465"/>
      <c r="S73" s="465"/>
      <c r="T73" s="465"/>
      <c r="U73" s="466"/>
      <c r="V73" s="467"/>
      <c r="W73" s="472" t="s">
        <v>152</v>
      </c>
      <c r="X73" s="473"/>
      <c r="Y73" s="474" t="s">
        <v>153</v>
      </c>
      <c r="Z73" s="471">
        <f>149000*12</f>
        <v>1788000</v>
      </c>
    </row>
    <row r="74" spans="1:26" ht="23.25" customHeight="1" x14ac:dyDescent="0.3">
      <c r="A74" s="400"/>
      <c r="B74" s="322"/>
      <c r="C74" s="322"/>
      <c r="D74" s="464"/>
      <c r="E74" s="465"/>
      <c r="F74" s="465"/>
      <c r="G74" s="465"/>
      <c r="H74" s="465"/>
      <c r="I74" s="465"/>
      <c r="J74" s="465"/>
      <c r="K74" s="465"/>
      <c r="L74" s="465"/>
      <c r="M74" s="465"/>
      <c r="N74" s="465"/>
      <c r="O74" s="465"/>
      <c r="P74" s="465"/>
      <c r="Q74" s="465"/>
      <c r="R74" s="465"/>
      <c r="S74" s="465"/>
      <c r="T74" s="465"/>
      <c r="U74" s="466"/>
      <c r="V74" s="467"/>
      <c r="W74" s="512" t="s">
        <v>154</v>
      </c>
      <c r="X74" s="513"/>
      <c r="Y74" s="474" t="s">
        <v>155</v>
      </c>
      <c r="Z74" s="471">
        <f>220000*12</f>
        <v>2640000</v>
      </c>
    </row>
    <row r="75" spans="1:26" ht="23.25" customHeight="1" x14ac:dyDescent="0.3">
      <c r="A75" s="400"/>
      <c r="B75" s="322"/>
      <c r="C75" s="322"/>
      <c r="D75" s="464"/>
      <c r="E75" s="465"/>
      <c r="F75" s="465"/>
      <c r="G75" s="465"/>
      <c r="H75" s="465"/>
      <c r="I75" s="465"/>
      <c r="J75" s="465"/>
      <c r="K75" s="465"/>
      <c r="L75" s="465"/>
      <c r="M75" s="465"/>
      <c r="N75" s="465"/>
      <c r="O75" s="465"/>
      <c r="P75" s="465"/>
      <c r="Q75" s="465"/>
      <c r="R75" s="465"/>
      <c r="S75" s="465"/>
      <c r="T75" s="465"/>
      <c r="U75" s="466"/>
      <c r="V75" s="467"/>
      <c r="W75" s="512" t="s">
        <v>156</v>
      </c>
      <c r="X75" s="513"/>
      <c r="Y75" s="478" t="s">
        <v>157</v>
      </c>
      <c r="Z75" s="471">
        <f>88000*12</f>
        <v>1056000</v>
      </c>
    </row>
    <row r="76" spans="1:26" ht="23.25" customHeight="1" x14ac:dyDescent="0.3">
      <c r="A76" s="400"/>
      <c r="B76" s="322"/>
      <c r="C76" s="322"/>
      <c r="D76" s="464"/>
      <c r="E76" s="465"/>
      <c r="F76" s="465"/>
      <c r="G76" s="465"/>
      <c r="H76" s="465"/>
      <c r="I76" s="465"/>
      <c r="J76" s="465"/>
      <c r="K76" s="465"/>
      <c r="L76" s="465"/>
      <c r="M76" s="465"/>
      <c r="N76" s="465"/>
      <c r="O76" s="465"/>
      <c r="P76" s="465"/>
      <c r="Q76" s="465"/>
      <c r="R76" s="465"/>
      <c r="S76" s="465"/>
      <c r="T76" s="465"/>
      <c r="U76" s="466"/>
      <c r="V76" s="467"/>
      <c r="W76" s="514" t="s">
        <v>396</v>
      </c>
      <c r="X76" s="515"/>
      <c r="Y76" s="346" t="s">
        <v>397</v>
      </c>
      <c r="Z76" s="485">
        <f>100000*12</f>
        <v>1200000</v>
      </c>
    </row>
    <row r="77" spans="1:26" ht="23.25" customHeight="1" x14ac:dyDescent="0.3">
      <c r="A77" s="400"/>
      <c r="B77" s="322"/>
      <c r="C77" s="322"/>
      <c r="D77" s="464"/>
      <c r="E77" s="465"/>
      <c r="F77" s="465"/>
      <c r="G77" s="465"/>
      <c r="H77" s="465"/>
      <c r="I77" s="465"/>
      <c r="J77" s="465"/>
      <c r="K77" s="465"/>
      <c r="L77" s="465"/>
      <c r="M77" s="465"/>
      <c r="N77" s="465"/>
      <c r="O77" s="465"/>
      <c r="P77" s="465"/>
      <c r="Q77" s="465"/>
      <c r="R77" s="465"/>
      <c r="S77" s="465"/>
      <c r="T77" s="465"/>
      <c r="U77" s="466"/>
      <c r="V77" s="467"/>
      <c r="W77" s="516" t="s">
        <v>158</v>
      </c>
      <c r="X77" s="469"/>
      <c r="Y77" s="470" t="s">
        <v>159</v>
      </c>
      <c r="Z77" s="471">
        <f>44000*12</f>
        <v>528000</v>
      </c>
    </row>
    <row r="78" spans="1:26" ht="23.25" customHeight="1" x14ac:dyDescent="0.3">
      <c r="A78" s="400"/>
      <c r="B78" s="322"/>
      <c r="C78" s="322"/>
      <c r="D78" s="464"/>
      <c r="E78" s="465"/>
      <c r="F78" s="465"/>
      <c r="G78" s="465"/>
      <c r="H78" s="465"/>
      <c r="I78" s="465"/>
      <c r="J78" s="465"/>
      <c r="K78" s="465"/>
      <c r="L78" s="465"/>
      <c r="M78" s="465"/>
      <c r="N78" s="465"/>
      <c r="O78" s="465"/>
      <c r="P78" s="465"/>
      <c r="Q78" s="465"/>
      <c r="R78" s="465"/>
      <c r="S78" s="465"/>
      <c r="T78" s="465"/>
      <c r="U78" s="466"/>
      <c r="V78" s="467"/>
      <c r="W78" s="516" t="s">
        <v>160</v>
      </c>
      <c r="X78" s="469"/>
      <c r="Y78" s="470" t="s">
        <v>161</v>
      </c>
      <c r="Z78" s="471">
        <f>120000*12</f>
        <v>1440000</v>
      </c>
    </row>
    <row r="79" spans="1:26" ht="23.25" customHeight="1" x14ac:dyDescent="0.3">
      <c r="A79" s="400"/>
      <c r="B79" s="322"/>
      <c r="C79" s="323" t="s">
        <v>35</v>
      </c>
      <c r="D79" s="487">
        <v>48535000</v>
      </c>
      <c r="E79" s="457">
        <v>48535000</v>
      </c>
      <c r="F79" s="457">
        <v>48535000</v>
      </c>
      <c r="G79" s="457">
        <v>48535000</v>
      </c>
      <c r="H79" s="457">
        <v>46135000</v>
      </c>
      <c r="I79" s="457">
        <v>47550000</v>
      </c>
      <c r="J79" s="457">
        <v>47550000</v>
      </c>
      <c r="K79" s="457">
        <v>49350000</v>
      </c>
      <c r="L79" s="457">
        <v>49350000</v>
      </c>
      <c r="M79" s="457">
        <v>49585000</v>
      </c>
      <c r="N79" s="457">
        <v>49585000</v>
      </c>
      <c r="O79" s="457">
        <v>47135000</v>
      </c>
      <c r="P79" s="457">
        <v>38735000</v>
      </c>
      <c r="Q79" s="457">
        <v>52785000</v>
      </c>
      <c r="R79" s="457">
        <v>50285000</v>
      </c>
      <c r="S79" s="457">
        <v>50285000</v>
      </c>
      <c r="T79" s="457">
        <f>SUM(Z79:Z85)</f>
        <v>52985000</v>
      </c>
      <c r="U79" s="458">
        <f>T79-S79</f>
        <v>2700000</v>
      </c>
      <c r="V79" s="459">
        <f>U79/S79</f>
        <v>5.3693944516257336E-2</v>
      </c>
      <c r="W79" s="460" t="s">
        <v>162</v>
      </c>
      <c r="X79" s="461"/>
      <c r="Y79" s="462" t="s">
        <v>135</v>
      </c>
      <c r="Z79" s="463">
        <f>300000*12</f>
        <v>3600000</v>
      </c>
    </row>
    <row r="80" spans="1:26" ht="23.25" customHeight="1" x14ac:dyDescent="0.3">
      <c r="A80" s="400"/>
      <c r="B80" s="322"/>
      <c r="C80" s="322"/>
      <c r="D80" s="464"/>
      <c r="E80" s="465"/>
      <c r="F80" s="465"/>
      <c r="G80" s="465"/>
      <c r="H80" s="465"/>
      <c r="I80" s="465"/>
      <c r="J80" s="465"/>
      <c r="K80" s="465"/>
      <c r="L80" s="465"/>
      <c r="M80" s="465"/>
      <c r="N80" s="465"/>
      <c r="O80" s="465"/>
      <c r="P80" s="465"/>
      <c r="Q80" s="465"/>
      <c r="R80" s="465"/>
      <c r="S80" s="465"/>
      <c r="T80" s="465"/>
      <c r="U80" s="466"/>
      <c r="V80" s="467"/>
      <c r="W80" s="468" t="s">
        <v>163</v>
      </c>
      <c r="X80" s="469"/>
      <c r="Y80" s="470" t="s">
        <v>164</v>
      </c>
      <c r="Z80" s="471">
        <f>3000000*12</f>
        <v>36000000</v>
      </c>
    </row>
    <row r="81" spans="1:26" ht="23.25" customHeight="1" x14ac:dyDescent="0.3">
      <c r="A81" s="400"/>
      <c r="B81" s="322"/>
      <c r="C81" s="322"/>
      <c r="D81" s="464"/>
      <c r="E81" s="465"/>
      <c r="F81" s="465"/>
      <c r="G81" s="465"/>
      <c r="H81" s="465"/>
      <c r="I81" s="465"/>
      <c r="J81" s="465"/>
      <c r="K81" s="465"/>
      <c r="L81" s="465"/>
      <c r="M81" s="465"/>
      <c r="N81" s="465"/>
      <c r="O81" s="465"/>
      <c r="P81" s="465"/>
      <c r="Q81" s="465"/>
      <c r="R81" s="465"/>
      <c r="S81" s="465"/>
      <c r="T81" s="465"/>
      <c r="U81" s="466"/>
      <c r="V81" s="467"/>
      <c r="W81" s="468" t="s">
        <v>165</v>
      </c>
      <c r="X81" s="469"/>
      <c r="Y81" s="470" t="s">
        <v>166</v>
      </c>
      <c r="Z81" s="471">
        <f>ROUNDUP(7700*2*12,-3)</f>
        <v>185000</v>
      </c>
    </row>
    <row r="82" spans="1:26" ht="23.25" customHeight="1" x14ac:dyDescent="0.3">
      <c r="A82" s="400"/>
      <c r="B82" s="322"/>
      <c r="C82" s="322"/>
      <c r="D82" s="464"/>
      <c r="E82" s="465"/>
      <c r="F82" s="465"/>
      <c r="G82" s="465"/>
      <c r="H82" s="465"/>
      <c r="I82" s="465"/>
      <c r="J82" s="465"/>
      <c r="K82" s="465"/>
      <c r="L82" s="465"/>
      <c r="M82" s="465"/>
      <c r="N82" s="465"/>
      <c r="O82" s="465"/>
      <c r="P82" s="465"/>
      <c r="Q82" s="465"/>
      <c r="R82" s="465"/>
      <c r="S82" s="465"/>
      <c r="T82" s="465"/>
      <c r="U82" s="466"/>
      <c r="V82" s="467"/>
      <c r="W82" s="468" t="s">
        <v>167</v>
      </c>
      <c r="X82" s="469"/>
      <c r="Y82" s="470" t="s">
        <v>209</v>
      </c>
      <c r="Z82" s="471">
        <f>500000*12</f>
        <v>6000000</v>
      </c>
    </row>
    <row r="83" spans="1:26" ht="23.25" customHeight="1" x14ac:dyDescent="0.3">
      <c r="A83" s="400"/>
      <c r="B83" s="322"/>
      <c r="C83" s="322"/>
      <c r="D83" s="464"/>
      <c r="E83" s="465"/>
      <c r="F83" s="465"/>
      <c r="G83" s="465"/>
      <c r="H83" s="465"/>
      <c r="I83" s="465"/>
      <c r="J83" s="465"/>
      <c r="K83" s="465"/>
      <c r="L83" s="465"/>
      <c r="M83" s="465"/>
      <c r="N83" s="465"/>
      <c r="O83" s="465"/>
      <c r="P83" s="465"/>
      <c r="Q83" s="465"/>
      <c r="R83" s="465"/>
      <c r="S83" s="465"/>
      <c r="T83" s="465"/>
      <c r="U83" s="466"/>
      <c r="V83" s="467"/>
      <c r="W83" s="493" t="s">
        <v>167</v>
      </c>
      <c r="X83" s="494"/>
      <c r="Y83" s="343" t="s">
        <v>370</v>
      </c>
      <c r="Z83" s="485">
        <f>(200000*4)+(600000*8)</f>
        <v>5600000</v>
      </c>
    </row>
    <row r="84" spans="1:26" ht="23.25" customHeight="1" x14ac:dyDescent="0.3">
      <c r="A84" s="400"/>
      <c r="B84" s="322"/>
      <c r="C84" s="322"/>
      <c r="D84" s="464"/>
      <c r="E84" s="465"/>
      <c r="F84" s="465"/>
      <c r="G84" s="465"/>
      <c r="H84" s="465"/>
      <c r="I84" s="465"/>
      <c r="J84" s="465"/>
      <c r="K84" s="465"/>
      <c r="L84" s="465"/>
      <c r="M84" s="465"/>
      <c r="N84" s="465"/>
      <c r="O84" s="465"/>
      <c r="P84" s="465"/>
      <c r="Q84" s="465"/>
      <c r="R84" s="465"/>
      <c r="S84" s="465"/>
      <c r="T84" s="465"/>
      <c r="U84" s="466"/>
      <c r="V84" s="467"/>
      <c r="W84" s="493" t="s">
        <v>168</v>
      </c>
      <c r="X84" s="494"/>
      <c r="Y84" s="343" t="s">
        <v>169</v>
      </c>
      <c r="Z84" s="485">
        <f>400000*4</f>
        <v>1600000</v>
      </c>
    </row>
    <row r="85" spans="1:26" ht="23.25" customHeight="1" x14ac:dyDescent="0.3">
      <c r="A85" s="400"/>
      <c r="B85" s="322"/>
      <c r="C85" s="322"/>
      <c r="D85" s="464"/>
      <c r="E85" s="465"/>
      <c r="F85" s="465"/>
      <c r="G85" s="465"/>
      <c r="H85" s="465"/>
      <c r="I85" s="465"/>
      <c r="J85" s="465"/>
      <c r="K85" s="465"/>
      <c r="L85" s="465"/>
      <c r="M85" s="465"/>
      <c r="N85" s="465"/>
      <c r="O85" s="465"/>
      <c r="P85" s="465"/>
      <c r="Q85" s="465"/>
      <c r="R85" s="465"/>
      <c r="S85" s="465"/>
      <c r="T85" s="465"/>
      <c r="U85" s="466"/>
      <c r="V85" s="467"/>
      <c r="W85" s="468" t="s">
        <v>170</v>
      </c>
      <c r="X85" s="469"/>
      <c r="Y85" s="470"/>
      <c r="Z85" s="471"/>
    </row>
    <row r="86" spans="1:26" ht="23.25" customHeight="1" x14ac:dyDescent="0.3">
      <c r="A86" s="400"/>
      <c r="B86" s="322"/>
      <c r="C86" s="323" t="s">
        <v>36</v>
      </c>
      <c r="D86" s="487">
        <v>19848000</v>
      </c>
      <c r="E86" s="457">
        <v>16058000</v>
      </c>
      <c r="F86" s="457">
        <v>16058000</v>
      </c>
      <c r="G86" s="457">
        <v>19848000</v>
      </c>
      <c r="H86" s="457">
        <v>13273000</v>
      </c>
      <c r="I86" s="457">
        <v>14363000</v>
      </c>
      <c r="J86" s="457">
        <v>14643000</v>
      </c>
      <c r="K86" s="457">
        <v>14643000</v>
      </c>
      <c r="L86" s="457">
        <v>16273000</v>
      </c>
      <c r="M86" s="457">
        <v>14893000</v>
      </c>
      <c r="N86" s="457">
        <v>14903000</v>
      </c>
      <c r="O86" s="457">
        <v>14903000</v>
      </c>
      <c r="P86" s="457">
        <v>15633000</v>
      </c>
      <c r="Q86" s="457">
        <v>15593000</v>
      </c>
      <c r="R86" s="457">
        <v>15593000</v>
      </c>
      <c r="S86" s="457">
        <v>15593000</v>
      </c>
      <c r="T86" s="457">
        <f>SUM(Z86:Z106)</f>
        <v>14033000</v>
      </c>
      <c r="U86" s="458">
        <f>T86-S86</f>
        <v>-1560000</v>
      </c>
      <c r="V86" s="459">
        <f>U86/S86</f>
        <v>-0.10004489193869044</v>
      </c>
      <c r="W86" s="517" t="s">
        <v>171</v>
      </c>
      <c r="X86" s="518"/>
      <c r="Y86" s="519" t="s">
        <v>172</v>
      </c>
      <c r="Z86" s="463">
        <f>3000000*1</f>
        <v>3000000</v>
      </c>
    </row>
    <row r="87" spans="1:26" ht="23.25" customHeight="1" x14ac:dyDescent="0.3">
      <c r="A87" s="400"/>
      <c r="B87" s="322"/>
      <c r="C87" s="322"/>
      <c r="D87" s="464"/>
      <c r="E87" s="465"/>
      <c r="F87" s="465"/>
      <c r="G87" s="465"/>
      <c r="H87" s="465"/>
      <c r="I87" s="465"/>
      <c r="J87" s="465"/>
      <c r="K87" s="465"/>
      <c r="L87" s="465"/>
      <c r="M87" s="465"/>
      <c r="N87" s="465"/>
      <c r="O87" s="465"/>
      <c r="P87" s="465"/>
      <c r="Q87" s="465"/>
      <c r="R87" s="465"/>
      <c r="S87" s="465"/>
      <c r="T87" s="465"/>
      <c r="U87" s="466"/>
      <c r="V87" s="467"/>
      <c r="W87" s="472" t="s">
        <v>173</v>
      </c>
      <c r="X87" s="469" t="s">
        <v>174</v>
      </c>
      <c r="Y87" s="470" t="s">
        <v>436</v>
      </c>
      <c r="Z87" s="471">
        <f>1100000*1</f>
        <v>1100000</v>
      </c>
    </row>
    <row r="88" spans="1:26" ht="23.25" customHeight="1" x14ac:dyDescent="0.3">
      <c r="A88" s="400"/>
      <c r="B88" s="322"/>
      <c r="C88" s="322"/>
      <c r="D88" s="464"/>
      <c r="E88" s="465"/>
      <c r="F88" s="465"/>
      <c r="G88" s="465"/>
      <c r="H88" s="465"/>
      <c r="I88" s="465"/>
      <c r="J88" s="465"/>
      <c r="K88" s="465"/>
      <c r="L88" s="465"/>
      <c r="M88" s="465"/>
      <c r="N88" s="465"/>
      <c r="O88" s="465"/>
      <c r="P88" s="465"/>
      <c r="Q88" s="465"/>
      <c r="R88" s="465"/>
      <c r="S88" s="465"/>
      <c r="T88" s="465"/>
      <c r="U88" s="466"/>
      <c r="V88" s="467"/>
      <c r="W88" s="472"/>
      <c r="X88" s="469" t="s">
        <v>175</v>
      </c>
      <c r="Y88" s="470" t="s">
        <v>268</v>
      </c>
      <c r="Z88" s="471">
        <f>1000000*1</f>
        <v>1000000</v>
      </c>
    </row>
    <row r="89" spans="1:26" ht="23.25" customHeight="1" x14ac:dyDescent="0.3">
      <c r="A89" s="400"/>
      <c r="B89" s="322"/>
      <c r="C89" s="322"/>
      <c r="D89" s="464"/>
      <c r="E89" s="465"/>
      <c r="F89" s="465"/>
      <c r="G89" s="465"/>
      <c r="H89" s="465"/>
      <c r="I89" s="465"/>
      <c r="J89" s="465"/>
      <c r="K89" s="465"/>
      <c r="L89" s="465"/>
      <c r="M89" s="465"/>
      <c r="N89" s="465"/>
      <c r="O89" s="465"/>
      <c r="P89" s="465"/>
      <c r="Q89" s="465"/>
      <c r="R89" s="465"/>
      <c r="S89" s="465"/>
      <c r="T89" s="465"/>
      <c r="U89" s="466"/>
      <c r="V89" s="467"/>
      <c r="W89" s="472"/>
      <c r="X89" s="469" t="s">
        <v>175</v>
      </c>
      <c r="Y89" s="470" t="s">
        <v>435</v>
      </c>
      <c r="Z89" s="471">
        <f>1300000*1</f>
        <v>1300000</v>
      </c>
    </row>
    <row r="90" spans="1:26" ht="23.25" customHeight="1" x14ac:dyDescent="0.3">
      <c r="A90" s="400"/>
      <c r="B90" s="322"/>
      <c r="C90" s="322"/>
      <c r="D90" s="464"/>
      <c r="E90" s="465"/>
      <c r="F90" s="465"/>
      <c r="G90" s="465"/>
      <c r="H90" s="465"/>
      <c r="I90" s="465"/>
      <c r="J90" s="465"/>
      <c r="K90" s="465"/>
      <c r="L90" s="465"/>
      <c r="M90" s="465"/>
      <c r="N90" s="465"/>
      <c r="O90" s="465"/>
      <c r="P90" s="465"/>
      <c r="Q90" s="465"/>
      <c r="R90" s="465"/>
      <c r="S90" s="465"/>
      <c r="T90" s="465"/>
      <c r="U90" s="466"/>
      <c r="V90" s="467"/>
      <c r="W90" s="472"/>
      <c r="X90" s="469" t="s">
        <v>176</v>
      </c>
      <c r="Y90" s="470" t="s">
        <v>177</v>
      </c>
      <c r="Z90" s="471">
        <f>800000*1</f>
        <v>800000</v>
      </c>
    </row>
    <row r="91" spans="1:26" ht="23.25" customHeight="1" x14ac:dyDescent="0.3">
      <c r="A91" s="400"/>
      <c r="B91" s="322"/>
      <c r="C91" s="322"/>
      <c r="D91" s="464"/>
      <c r="E91" s="465"/>
      <c r="F91" s="465"/>
      <c r="G91" s="465"/>
      <c r="H91" s="465"/>
      <c r="I91" s="465"/>
      <c r="J91" s="465"/>
      <c r="K91" s="465"/>
      <c r="L91" s="465"/>
      <c r="M91" s="465"/>
      <c r="N91" s="465"/>
      <c r="O91" s="465"/>
      <c r="P91" s="465"/>
      <c r="Q91" s="465"/>
      <c r="R91" s="465"/>
      <c r="S91" s="465"/>
      <c r="T91" s="465"/>
      <c r="U91" s="466"/>
      <c r="V91" s="467"/>
      <c r="W91" s="472"/>
      <c r="X91" s="469" t="s">
        <v>178</v>
      </c>
      <c r="Y91" s="470" t="s">
        <v>177</v>
      </c>
      <c r="Z91" s="471">
        <f>800000*1</f>
        <v>800000</v>
      </c>
    </row>
    <row r="92" spans="1:26" ht="23.25" customHeight="1" x14ac:dyDescent="0.3">
      <c r="A92" s="400"/>
      <c r="B92" s="322"/>
      <c r="C92" s="322"/>
      <c r="D92" s="464"/>
      <c r="E92" s="465"/>
      <c r="F92" s="465"/>
      <c r="G92" s="465"/>
      <c r="H92" s="465"/>
      <c r="I92" s="465"/>
      <c r="J92" s="465"/>
      <c r="K92" s="465"/>
      <c r="L92" s="465"/>
      <c r="M92" s="465"/>
      <c r="N92" s="465"/>
      <c r="O92" s="465"/>
      <c r="P92" s="465"/>
      <c r="Q92" s="465"/>
      <c r="R92" s="465"/>
      <c r="S92" s="465"/>
      <c r="T92" s="465"/>
      <c r="U92" s="466"/>
      <c r="V92" s="467"/>
      <c r="W92" s="472"/>
      <c r="X92" s="469" t="s">
        <v>179</v>
      </c>
      <c r="Y92" s="470" t="s">
        <v>177</v>
      </c>
      <c r="Z92" s="471">
        <f>800000*1</f>
        <v>800000</v>
      </c>
    </row>
    <row r="93" spans="1:26" ht="23.25" customHeight="1" x14ac:dyDescent="0.3">
      <c r="A93" s="400"/>
      <c r="B93" s="322"/>
      <c r="C93" s="322"/>
      <c r="D93" s="464"/>
      <c r="E93" s="465"/>
      <c r="F93" s="465"/>
      <c r="G93" s="465"/>
      <c r="H93" s="465"/>
      <c r="I93" s="465"/>
      <c r="J93" s="465"/>
      <c r="K93" s="465"/>
      <c r="L93" s="465"/>
      <c r="M93" s="465"/>
      <c r="N93" s="465"/>
      <c r="O93" s="465"/>
      <c r="P93" s="465"/>
      <c r="Q93" s="465"/>
      <c r="R93" s="465"/>
      <c r="S93" s="465"/>
      <c r="T93" s="465"/>
      <c r="U93" s="466"/>
      <c r="V93" s="467"/>
      <c r="W93" s="472" t="s">
        <v>180</v>
      </c>
      <c r="X93" s="469"/>
      <c r="Y93" s="470" t="s">
        <v>181</v>
      </c>
      <c r="Z93" s="471">
        <f>500000*1</f>
        <v>500000</v>
      </c>
    </row>
    <row r="94" spans="1:26" ht="23.25" customHeight="1" x14ac:dyDescent="0.3">
      <c r="A94" s="400"/>
      <c r="B94" s="322"/>
      <c r="C94" s="322"/>
      <c r="D94" s="464"/>
      <c r="E94" s="465"/>
      <c r="F94" s="465"/>
      <c r="G94" s="465"/>
      <c r="H94" s="465"/>
      <c r="I94" s="465"/>
      <c r="J94" s="465"/>
      <c r="K94" s="465"/>
      <c r="L94" s="465"/>
      <c r="M94" s="465"/>
      <c r="N94" s="465"/>
      <c r="O94" s="465"/>
      <c r="P94" s="465"/>
      <c r="Q94" s="465"/>
      <c r="R94" s="465"/>
      <c r="S94" s="465"/>
      <c r="T94" s="465"/>
      <c r="U94" s="466"/>
      <c r="V94" s="467"/>
      <c r="W94" s="472" t="s">
        <v>182</v>
      </c>
      <c r="X94" s="469"/>
      <c r="Y94" s="470" t="s">
        <v>183</v>
      </c>
      <c r="Z94" s="471">
        <f>120000*2</f>
        <v>240000</v>
      </c>
    </row>
    <row r="95" spans="1:26" ht="23.25" customHeight="1" x14ac:dyDescent="0.3">
      <c r="A95" s="400"/>
      <c r="B95" s="322"/>
      <c r="C95" s="322"/>
      <c r="D95" s="464"/>
      <c r="E95" s="465"/>
      <c r="F95" s="465"/>
      <c r="G95" s="465"/>
      <c r="H95" s="465"/>
      <c r="I95" s="465"/>
      <c r="J95" s="465"/>
      <c r="K95" s="465"/>
      <c r="L95" s="465"/>
      <c r="M95" s="465"/>
      <c r="N95" s="465"/>
      <c r="O95" s="465"/>
      <c r="P95" s="465"/>
      <c r="Q95" s="465"/>
      <c r="R95" s="465"/>
      <c r="S95" s="465"/>
      <c r="T95" s="465"/>
      <c r="U95" s="466"/>
      <c r="V95" s="467"/>
      <c r="W95" s="468" t="s">
        <v>184</v>
      </c>
      <c r="X95" s="469"/>
      <c r="Y95" s="470" t="s">
        <v>132</v>
      </c>
      <c r="Z95" s="471">
        <f>200000*12</f>
        <v>2400000</v>
      </c>
    </row>
    <row r="96" spans="1:26" ht="23.25" customHeight="1" x14ac:dyDescent="0.3">
      <c r="A96" s="400"/>
      <c r="B96" s="322"/>
      <c r="C96" s="322"/>
      <c r="D96" s="464"/>
      <c r="E96" s="465"/>
      <c r="F96" s="465"/>
      <c r="G96" s="465"/>
      <c r="H96" s="465"/>
      <c r="I96" s="465"/>
      <c r="J96" s="465"/>
      <c r="K96" s="465"/>
      <c r="L96" s="465"/>
      <c r="M96" s="465"/>
      <c r="N96" s="465"/>
      <c r="O96" s="465"/>
      <c r="P96" s="465"/>
      <c r="Q96" s="465"/>
      <c r="R96" s="465"/>
      <c r="S96" s="465"/>
      <c r="T96" s="465"/>
      <c r="U96" s="466"/>
      <c r="V96" s="467"/>
      <c r="W96" s="468" t="s">
        <v>185</v>
      </c>
      <c r="X96" s="469"/>
      <c r="Y96" s="470" t="s">
        <v>186</v>
      </c>
      <c r="Z96" s="471">
        <v>1200000</v>
      </c>
    </row>
    <row r="97" spans="1:26" ht="23.25" customHeight="1" x14ac:dyDescent="0.3">
      <c r="A97" s="400"/>
      <c r="B97" s="322"/>
      <c r="C97" s="322"/>
      <c r="D97" s="464"/>
      <c r="E97" s="465"/>
      <c r="F97" s="465"/>
      <c r="G97" s="465"/>
      <c r="H97" s="465"/>
      <c r="I97" s="465"/>
      <c r="J97" s="465"/>
      <c r="K97" s="465"/>
      <c r="L97" s="465"/>
      <c r="M97" s="465"/>
      <c r="N97" s="465"/>
      <c r="O97" s="465"/>
      <c r="P97" s="465"/>
      <c r="Q97" s="465"/>
      <c r="R97" s="465"/>
      <c r="S97" s="465"/>
      <c r="T97" s="465"/>
      <c r="U97" s="466"/>
      <c r="V97" s="467"/>
      <c r="W97" s="468" t="s">
        <v>187</v>
      </c>
      <c r="X97" s="469"/>
      <c r="Y97" s="470"/>
      <c r="Z97" s="471"/>
    </row>
    <row r="98" spans="1:26" ht="23.25" customHeight="1" x14ac:dyDescent="0.3">
      <c r="A98" s="400"/>
      <c r="B98" s="322"/>
      <c r="C98" s="322"/>
      <c r="D98" s="464"/>
      <c r="E98" s="465"/>
      <c r="F98" s="465"/>
      <c r="G98" s="465"/>
      <c r="H98" s="465"/>
      <c r="I98" s="465"/>
      <c r="J98" s="465"/>
      <c r="K98" s="465"/>
      <c r="L98" s="465"/>
      <c r="M98" s="465"/>
      <c r="N98" s="465"/>
      <c r="O98" s="465"/>
      <c r="P98" s="465"/>
      <c r="Q98" s="465"/>
      <c r="R98" s="465"/>
      <c r="S98" s="465"/>
      <c r="T98" s="465"/>
      <c r="U98" s="466"/>
      <c r="V98" s="467"/>
      <c r="W98" s="468" t="s">
        <v>188</v>
      </c>
      <c r="X98" s="473"/>
      <c r="Y98" s="474" t="s">
        <v>189</v>
      </c>
      <c r="Z98" s="471">
        <f>150000*1</f>
        <v>150000</v>
      </c>
    </row>
    <row r="99" spans="1:26" ht="23.25" customHeight="1" x14ac:dyDescent="0.3">
      <c r="A99" s="400"/>
      <c r="B99" s="322"/>
      <c r="C99" s="322"/>
      <c r="D99" s="464"/>
      <c r="E99" s="465"/>
      <c r="F99" s="465"/>
      <c r="G99" s="465"/>
      <c r="H99" s="465"/>
      <c r="I99" s="465"/>
      <c r="J99" s="465"/>
      <c r="K99" s="465"/>
      <c r="L99" s="465"/>
      <c r="M99" s="465"/>
      <c r="N99" s="465"/>
      <c r="O99" s="465"/>
      <c r="P99" s="465"/>
      <c r="Q99" s="465"/>
      <c r="R99" s="465"/>
      <c r="S99" s="465"/>
      <c r="T99" s="465"/>
      <c r="U99" s="466"/>
      <c r="V99" s="467"/>
      <c r="W99" s="468" t="s">
        <v>190</v>
      </c>
      <c r="X99" s="473"/>
      <c r="Y99" s="474" t="s">
        <v>189</v>
      </c>
      <c r="Z99" s="471">
        <f>150000*1</f>
        <v>150000</v>
      </c>
    </row>
    <row r="100" spans="1:26" ht="23.25" customHeight="1" x14ac:dyDescent="0.3">
      <c r="A100" s="400"/>
      <c r="B100" s="322"/>
      <c r="C100" s="322"/>
      <c r="D100" s="464"/>
      <c r="E100" s="465"/>
      <c r="F100" s="465"/>
      <c r="G100" s="465"/>
      <c r="H100" s="465"/>
      <c r="I100" s="465"/>
      <c r="J100" s="465"/>
      <c r="K100" s="465"/>
      <c r="L100" s="465"/>
      <c r="M100" s="465"/>
      <c r="N100" s="465"/>
      <c r="O100" s="465"/>
      <c r="P100" s="465"/>
      <c r="Q100" s="465"/>
      <c r="R100" s="465"/>
      <c r="S100" s="465"/>
      <c r="T100" s="465"/>
      <c r="U100" s="466"/>
      <c r="V100" s="467"/>
      <c r="W100" s="468" t="s">
        <v>191</v>
      </c>
      <c r="X100" s="473"/>
      <c r="Y100" s="474" t="s">
        <v>192</v>
      </c>
      <c r="Z100" s="471">
        <f>55000*1</f>
        <v>55000</v>
      </c>
    </row>
    <row r="101" spans="1:26" ht="23.25" customHeight="1" x14ac:dyDescent="0.3">
      <c r="A101" s="400"/>
      <c r="B101" s="322"/>
      <c r="C101" s="322"/>
      <c r="D101" s="464"/>
      <c r="E101" s="465"/>
      <c r="F101" s="465"/>
      <c r="G101" s="465"/>
      <c r="H101" s="465"/>
      <c r="I101" s="465"/>
      <c r="J101" s="465"/>
      <c r="K101" s="465"/>
      <c r="L101" s="465"/>
      <c r="M101" s="465"/>
      <c r="N101" s="465"/>
      <c r="O101" s="465"/>
      <c r="P101" s="465"/>
      <c r="Q101" s="465"/>
      <c r="R101" s="465"/>
      <c r="S101" s="465"/>
      <c r="T101" s="465"/>
      <c r="U101" s="466"/>
      <c r="V101" s="467"/>
      <c r="W101" s="468" t="s">
        <v>193</v>
      </c>
      <c r="X101" s="473"/>
      <c r="Y101" s="474" t="s">
        <v>194</v>
      </c>
      <c r="Z101" s="471">
        <f>48000*1</f>
        <v>48000</v>
      </c>
    </row>
    <row r="102" spans="1:26" ht="23.25" customHeight="1" x14ac:dyDescent="0.3">
      <c r="A102" s="400"/>
      <c r="B102" s="322"/>
      <c r="C102" s="322"/>
      <c r="D102" s="464"/>
      <c r="E102" s="465"/>
      <c r="F102" s="465"/>
      <c r="G102" s="465"/>
      <c r="H102" s="465"/>
      <c r="I102" s="465"/>
      <c r="J102" s="465"/>
      <c r="K102" s="465"/>
      <c r="L102" s="465"/>
      <c r="M102" s="465"/>
      <c r="N102" s="465"/>
      <c r="O102" s="465"/>
      <c r="P102" s="465"/>
      <c r="Q102" s="465"/>
      <c r="R102" s="465"/>
      <c r="S102" s="465"/>
      <c r="T102" s="465"/>
      <c r="U102" s="466"/>
      <c r="V102" s="467"/>
      <c r="W102" s="468" t="s">
        <v>195</v>
      </c>
      <c r="X102" s="473"/>
      <c r="Y102" s="474" t="s">
        <v>196</v>
      </c>
      <c r="Z102" s="471">
        <f>10000*16</f>
        <v>160000</v>
      </c>
    </row>
    <row r="103" spans="1:26" ht="23.25" customHeight="1" x14ac:dyDescent="0.3">
      <c r="A103" s="400"/>
      <c r="B103" s="322"/>
      <c r="C103" s="322"/>
      <c r="D103" s="464"/>
      <c r="E103" s="465"/>
      <c r="F103" s="465"/>
      <c r="G103" s="465"/>
      <c r="H103" s="465"/>
      <c r="I103" s="465"/>
      <c r="J103" s="465"/>
      <c r="K103" s="465"/>
      <c r="L103" s="465"/>
      <c r="M103" s="465"/>
      <c r="N103" s="465"/>
      <c r="O103" s="465"/>
      <c r="P103" s="465"/>
      <c r="Q103" s="465"/>
      <c r="R103" s="465"/>
      <c r="S103" s="465"/>
      <c r="T103" s="465"/>
      <c r="U103" s="466"/>
      <c r="V103" s="467"/>
      <c r="W103" s="468" t="s">
        <v>197</v>
      </c>
      <c r="X103" s="473"/>
      <c r="Y103" s="474" t="s">
        <v>344</v>
      </c>
      <c r="Z103" s="471">
        <f>30000*5</f>
        <v>150000</v>
      </c>
    </row>
    <row r="104" spans="1:26" ht="23.25" customHeight="1" x14ac:dyDescent="0.3">
      <c r="A104" s="400"/>
      <c r="B104" s="322"/>
      <c r="C104" s="322"/>
      <c r="D104" s="464"/>
      <c r="E104" s="465"/>
      <c r="F104" s="465"/>
      <c r="G104" s="465"/>
      <c r="H104" s="465"/>
      <c r="I104" s="465"/>
      <c r="J104" s="465"/>
      <c r="K104" s="465"/>
      <c r="L104" s="465"/>
      <c r="M104" s="465"/>
      <c r="N104" s="465"/>
      <c r="O104" s="465"/>
      <c r="P104" s="465"/>
      <c r="Q104" s="465"/>
      <c r="R104" s="465"/>
      <c r="S104" s="465"/>
      <c r="T104" s="465"/>
      <c r="U104" s="466"/>
      <c r="V104" s="467"/>
      <c r="W104" s="468" t="s">
        <v>198</v>
      </c>
      <c r="X104" s="473"/>
      <c r="Y104" s="474" t="s">
        <v>199</v>
      </c>
      <c r="Z104" s="471">
        <f>10000*1</f>
        <v>10000</v>
      </c>
    </row>
    <row r="105" spans="1:26" ht="23.25" customHeight="1" x14ac:dyDescent="0.3">
      <c r="A105" s="400"/>
      <c r="B105" s="322"/>
      <c r="C105" s="322"/>
      <c r="D105" s="464"/>
      <c r="E105" s="465"/>
      <c r="F105" s="465"/>
      <c r="G105" s="465"/>
      <c r="H105" s="465"/>
      <c r="I105" s="465"/>
      <c r="J105" s="465"/>
      <c r="K105" s="465"/>
      <c r="L105" s="465"/>
      <c r="M105" s="465"/>
      <c r="N105" s="465"/>
      <c r="O105" s="465"/>
      <c r="P105" s="465"/>
      <c r="Q105" s="465"/>
      <c r="R105" s="465"/>
      <c r="S105" s="465"/>
      <c r="T105" s="465"/>
      <c r="U105" s="466"/>
      <c r="V105" s="467"/>
      <c r="W105" s="468" t="s">
        <v>200</v>
      </c>
      <c r="X105" s="473"/>
      <c r="Y105" s="474" t="s">
        <v>201</v>
      </c>
      <c r="Z105" s="471">
        <f>20000*1</f>
        <v>20000</v>
      </c>
    </row>
    <row r="106" spans="1:26" ht="26.25" customHeight="1" x14ac:dyDescent="0.3">
      <c r="A106" s="400"/>
      <c r="B106" s="322"/>
      <c r="C106" s="348"/>
      <c r="D106" s="464"/>
      <c r="E106" s="465"/>
      <c r="F106" s="465"/>
      <c r="G106" s="465"/>
      <c r="H106" s="465"/>
      <c r="I106" s="465"/>
      <c r="J106" s="465"/>
      <c r="K106" s="465"/>
      <c r="L106" s="465"/>
      <c r="M106" s="465"/>
      <c r="N106" s="465"/>
      <c r="O106" s="465"/>
      <c r="P106" s="465"/>
      <c r="Q106" s="465"/>
      <c r="R106" s="465"/>
      <c r="S106" s="465"/>
      <c r="T106" s="465"/>
      <c r="U106" s="466"/>
      <c r="V106" s="467"/>
      <c r="W106" s="483" t="s">
        <v>202</v>
      </c>
      <c r="X106" s="484"/>
      <c r="Y106" s="346" t="s">
        <v>189</v>
      </c>
      <c r="Z106" s="485">
        <f>150000*1</f>
        <v>150000</v>
      </c>
    </row>
    <row r="107" spans="1:26" ht="21.75" customHeight="1" x14ac:dyDescent="0.3">
      <c r="A107" s="400"/>
      <c r="B107" s="322"/>
      <c r="C107" s="323" t="s">
        <v>37</v>
      </c>
      <c r="D107" s="487">
        <v>17200000</v>
      </c>
      <c r="E107" s="457">
        <v>17600000</v>
      </c>
      <c r="F107" s="457">
        <v>17600000</v>
      </c>
      <c r="G107" s="457">
        <v>17200000</v>
      </c>
      <c r="H107" s="457">
        <v>17600000</v>
      </c>
      <c r="I107" s="457">
        <v>21200000</v>
      </c>
      <c r="J107" s="457">
        <v>23200000</v>
      </c>
      <c r="K107" s="457">
        <v>26600000</v>
      </c>
      <c r="L107" s="457">
        <v>26600000</v>
      </c>
      <c r="M107" s="457">
        <v>24920000</v>
      </c>
      <c r="N107" s="457">
        <v>24920000</v>
      </c>
      <c r="O107" s="457">
        <v>15300000</v>
      </c>
      <c r="P107" s="457">
        <v>15300000</v>
      </c>
      <c r="Q107" s="457">
        <v>25600000</v>
      </c>
      <c r="R107" s="457">
        <v>24000000</v>
      </c>
      <c r="S107" s="457">
        <v>25507000</v>
      </c>
      <c r="T107" s="457">
        <f>SUM(Z107:Z113)</f>
        <v>24400000</v>
      </c>
      <c r="U107" s="458">
        <f>T107-S107</f>
        <v>-1107000</v>
      </c>
      <c r="V107" s="459">
        <f>U107/S107</f>
        <v>-4.3399851021288273E-2</v>
      </c>
      <c r="W107" s="460" t="s">
        <v>203</v>
      </c>
      <c r="X107" s="461" t="s">
        <v>204</v>
      </c>
      <c r="Y107" s="462" t="s">
        <v>401</v>
      </c>
      <c r="Z107" s="463">
        <f>800000*11</f>
        <v>8800000</v>
      </c>
    </row>
    <row r="108" spans="1:26" ht="21.75" customHeight="1" x14ac:dyDescent="0.3">
      <c r="A108" s="400"/>
      <c r="B108" s="322"/>
      <c r="C108" s="322"/>
      <c r="D108" s="464"/>
      <c r="E108" s="465"/>
      <c r="F108" s="465"/>
      <c r="G108" s="465"/>
      <c r="H108" s="465"/>
      <c r="I108" s="465"/>
      <c r="J108" s="465"/>
      <c r="K108" s="465"/>
      <c r="L108" s="465"/>
      <c r="M108" s="465"/>
      <c r="N108" s="465"/>
      <c r="O108" s="465"/>
      <c r="P108" s="465"/>
      <c r="Q108" s="465"/>
      <c r="R108" s="465"/>
      <c r="S108" s="465"/>
      <c r="T108" s="465"/>
      <c r="U108" s="466"/>
      <c r="V108" s="467"/>
      <c r="W108" s="468"/>
      <c r="X108" s="469" t="s">
        <v>205</v>
      </c>
      <c r="Y108" s="470" t="s">
        <v>206</v>
      </c>
      <c r="Z108" s="471">
        <f>200000*12</f>
        <v>2400000</v>
      </c>
    </row>
    <row r="109" spans="1:26" ht="21.75" customHeight="1" x14ac:dyDescent="0.3">
      <c r="A109" s="400"/>
      <c r="B109" s="322"/>
      <c r="C109" s="322"/>
      <c r="D109" s="464"/>
      <c r="E109" s="465"/>
      <c r="F109" s="465"/>
      <c r="G109" s="465"/>
      <c r="H109" s="465"/>
      <c r="I109" s="465"/>
      <c r="J109" s="465"/>
      <c r="K109" s="465"/>
      <c r="L109" s="465"/>
      <c r="M109" s="465"/>
      <c r="N109" s="465"/>
      <c r="O109" s="465"/>
      <c r="P109" s="465"/>
      <c r="Q109" s="465"/>
      <c r="R109" s="465"/>
      <c r="S109" s="465"/>
      <c r="T109" s="465"/>
      <c r="U109" s="466"/>
      <c r="V109" s="467"/>
      <c r="W109" s="468"/>
      <c r="X109" s="469" t="s">
        <v>205</v>
      </c>
      <c r="Y109" s="470" t="s">
        <v>206</v>
      </c>
      <c r="Z109" s="471">
        <f>200000*12</f>
        <v>2400000</v>
      </c>
    </row>
    <row r="110" spans="1:26" ht="21.75" customHeight="1" x14ac:dyDescent="0.3">
      <c r="A110" s="400"/>
      <c r="B110" s="322"/>
      <c r="C110" s="322"/>
      <c r="D110" s="464"/>
      <c r="E110" s="465"/>
      <c r="F110" s="465"/>
      <c r="G110" s="465"/>
      <c r="H110" s="465"/>
      <c r="I110" s="465"/>
      <c r="J110" s="465"/>
      <c r="K110" s="465"/>
      <c r="L110" s="465"/>
      <c r="M110" s="465"/>
      <c r="N110" s="465"/>
      <c r="O110" s="465"/>
      <c r="P110" s="465"/>
      <c r="Q110" s="465"/>
      <c r="R110" s="465"/>
      <c r="S110" s="465"/>
      <c r="T110" s="465"/>
      <c r="U110" s="466"/>
      <c r="V110" s="467"/>
      <c r="W110" s="468"/>
      <c r="X110" s="469" t="s">
        <v>176</v>
      </c>
      <c r="Y110" s="470" t="s">
        <v>206</v>
      </c>
      <c r="Z110" s="471">
        <f>200000*12</f>
        <v>2400000</v>
      </c>
    </row>
    <row r="111" spans="1:26" ht="21.75" customHeight="1" x14ac:dyDescent="0.3">
      <c r="A111" s="400"/>
      <c r="B111" s="322"/>
      <c r="C111" s="322"/>
      <c r="D111" s="464"/>
      <c r="E111" s="465"/>
      <c r="F111" s="465"/>
      <c r="G111" s="465"/>
      <c r="H111" s="465"/>
      <c r="I111" s="465"/>
      <c r="J111" s="465"/>
      <c r="K111" s="465"/>
      <c r="L111" s="465"/>
      <c r="M111" s="465"/>
      <c r="N111" s="465"/>
      <c r="O111" s="465"/>
      <c r="P111" s="465"/>
      <c r="Q111" s="465"/>
      <c r="R111" s="465"/>
      <c r="S111" s="465"/>
      <c r="T111" s="465"/>
      <c r="U111" s="466"/>
      <c r="V111" s="467"/>
      <c r="W111" s="468"/>
      <c r="X111" s="469" t="s">
        <v>207</v>
      </c>
      <c r="Y111" s="470" t="s">
        <v>132</v>
      </c>
      <c r="Z111" s="471">
        <f>200000*12</f>
        <v>2400000</v>
      </c>
    </row>
    <row r="112" spans="1:26" ht="21.75" customHeight="1" x14ac:dyDescent="0.3">
      <c r="A112" s="400"/>
      <c r="B112" s="322"/>
      <c r="C112" s="322"/>
      <c r="D112" s="464"/>
      <c r="E112" s="465"/>
      <c r="F112" s="465"/>
      <c r="G112" s="465"/>
      <c r="H112" s="465"/>
      <c r="I112" s="465"/>
      <c r="J112" s="465"/>
      <c r="K112" s="465"/>
      <c r="L112" s="465"/>
      <c r="M112" s="465"/>
      <c r="N112" s="465"/>
      <c r="O112" s="465"/>
      <c r="P112" s="465"/>
      <c r="Q112" s="465"/>
      <c r="R112" s="465"/>
      <c r="S112" s="465"/>
      <c r="T112" s="465"/>
      <c r="U112" s="466"/>
      <c r="V112" s="467"/>
      <c r="W112" s="468"/>
      <c r="X112" s="469" t="s">
        <v>178</v>
      </c>
      <c r="Y112" s="470" t="s">
        <v>186</v>
      </c>
      <c r="Z112" s="471">
        <f>100000*12</f>
        <v>1200000</v>
      </c>
    </row>
    <row r="113" spans="1:26" ht="21.75" customHeight="1" x14ac:dyDescent="0.3">
      <c r="A113" s="400"/>
      <c r="B113" s="322"/>
      <c r="C113" s="348"/>
      <c r="D113" s="479"/>
      <c r="E113" s="480"/>
      <c r="F113" s="480"/>
      <c r="G113" s="480"/>
      <c r="H113" s="480"/>
      <c r="I113" s="480"/>
      <c r="J113" s="480"/>
      <c r="K113" s="480"/>
      <c r="L113" s="480"/>
      <c r="M113" s="480"/>
      <c r="N113" s="480"/>
      <c r="O113" s="480"/>
      <c r="P113" s="480"/>
      <c r="Q113" s="480"/>
      <c r="R113" s="480"/>
      <c r="S113" s="480"/>
      <c r="T113" s="480"/>
      <c r="U113" s="481"/>
      <c r="V113" s="482"/>
      <c r="W113" s="520" t="s">
        <v>208</v>
      </c>
      <c r="X113" s="521"/>
      <c r="Y113" s="343" t="s">
        <v>372</v>
      </c>
      <c r="Z113" s="485">
        <f>400000*12</f>
        <v>4800000</v>
      </c>
    </row>
    <row r="114" spans="1:26" ht="21.75" customHeight="1" x14ac:dyDescent="0.3">
      <c r="A114" s="393"/>
      <c r="B114" s="348"/>
      <c r="C114" s="341" t="s">
        <v>38</v>
      </c>
      <c r="D114" s="479"/>
      <c r="E114" s="480"/>
      <c r="F114" s="480"/>
      <c r="G114" s="480">
        <v>0</v>
      </c>
      <c r="H114" s="480">
        <v>400000</v>
      </c>
      <c r="I114" s="480">
        <v>800000</v>
      </c>
      <c r="J114" s="480">
        <v>0</v>
      </c>
      <c r="K114" s="480">
        <v>1200000</v>
      </c>
      <c r="L114" s="480">
        <v>1200000</v>
      </c>
      <c r="M114" s="480">
        <v>1600000</v>
      </c>
      <c r="N114" s="480">
        <v>1600000</v>
      </c>
      <c r="O114" s="480">
        <v>1600000</v>
      </c>
      <c r="P114" s="480">
        <v>1600000</v>
      </c>
      <c r="Q114" s="480">
        <v>1600000</v>
      </c>
      <c r="R114" s="480">
        <v>1600000</v>
      </c>
      <c r="S114" s="480">
        <v>1000000</v>
      </c>
      <c r="T114" s="480">
        <f>Z114</f>
        <v>1600000</v>
      </c>
      <c r="U114" s="522">
        <f>T114-S114</f>
        <v>600000</v>
      </c>
      <c r="V114" s="500">
        <f>U114/S114</f>
        <v>0.6</v>
      </c>
      <c r="W114" s="523" t="s">
        <v>38</v>
      </c>
      <c r="X114" s="524"/>
      <c r="Y114" s="343" t="s">
        <v>449</v>
      </c>
      <c r="Z114" s="485">
        <f>400000*4</f>
        <v>1600000</v>
      </c>
    </row>
    <row r="115" spans="1:26" s="32" customFormat="1" ht="23.25" customHeight="1" x14ac:dyDescent="0.3">
      <c r="A115" s="525" t="s">
        <v>4</v>
      </c>
      <c r="B115" s="526"/>
      <c r="C115" s="527"/>
      <c r="D115" s="528">
        <f t="shared" ref="D115:T115" si="7">D116</f>
        <v>13992000</v>
      </c>
      <c r="E115" s="529">
        <f t="shared" si="7"/>
        <v>1526000</v>
      </c>
      <c r="F115" s="529" t="e">
        <f t="shared" si="7"/>
        <v>#REF!</v>
      </c>
      <c r="G115" s="529">
        <f t="shared" si="7"/>
        <v>13992000</v>
      </c>
      <c r="H115" s="529" t="e">
        <f t="shared" si="7"/>
        <v>#REF!</v>
      </c>
      <c r="I115" s="529">
        <f t="shared" si="7"/>
        <v>11370000</v>
      </c>
      <c r="J115" s="529">
        <f t="shared" si="7"/>
        <v>2720000</v>
      </c>
      <c r="K115" s="529">
        <f t="shared" si="7"/>
        <v>34020000</v>
      </c>
      <c r="L115" s="529">
        <f t="shared" si="7"/>
        <v>25970000</v>
      </c>
      <c r="M115" s="529">
        <f t="shared" si="7"/>
        <v>18850000</v>
      </c>
      <c r="N115" s="529">
        <f t="shared" si="7"/>
        <v>33513000</v>
      </c>
      <c r="O115" s="529">
        <f t="shared" si="7"/>
        <v>38213000</v>
      </c>
      <c r="P115" s="529">
        <f t="shared" si="7"/>
        <v>41083000</v>
      </c>
      <c r="Q115" s="529">
        <f t="shared" si="7"/>
        <v>6490000</v>
      </c>
      <c r="R115" s="529">
        <f t="shared" si="7"/>
        <v>8148000</v>
      </c>
      <c r="S115" s="529">
        <f t="shared" si="7"/>
        <v>13048000</v>
      </c>
      <c r="T115" s="529">
        <f t="shared" si="7"/>
        <v>7890000</v>
      </c>
      <c r="U115" s="522">
        <f>T115-S115</f>
        <v>-5158000</v>
      </c>
      <c r="V115" s="500">
        <f t="shared" ref="V115:V118" si="8">U115/S115</f>
        <v>-0.3953096259963213</v>
      </c>
      <c r="W115" s="442"/>
      <c r="X115" s="443"/>
      <c r="Y115" s="444"/>
      <c r="Z115" s="445"/>
    </row>
    <row r="116" spans="1:26" ht="23.25" customHeight="1" x14ac:dyDescent="0.3">
      <c r="A116" s="400"/>
      <c r="B116" s="378" t="s">
        <v>40</v>
      </c>
      <c r="C116" s="530"/>
      <c r="D116" s="531">
        <f t="shared" ref="D116:T116" si="9">SUM(D117:D126)</f>
        <v>13992000</v>
      </c>
      <c r="E116" s="532">
        <f t="shared" si="9"/>
        <v>1526000</v>
      </c>
      <c r="F116" s="532" t="e">
        <f t="shared" si="9"/>
        <v>#REF!</v>
      </c>
      <c r="G116" s="532">
        <f t="shared" si="9"/>
        <v>13992000</v>
      </c>
      <c r="H116" s="532" t="e">
        <f t="shared" si="9"/>
        <v>#REF!</v>
      </c>
      <c r="I116" s="532">
        <f t="shared" si="9"/>
        <v>11370000</v>
      </c>
      <c r="J116" s="532">
        <f t="shared" si="9"/>
        <v>2720000</v>
      </c>
      <c r="K116" s="532">
        <f t="shared" si="9"/>
        <v>34020000</v>
      </c>
      <c r="L116" s="532">
        <f t="shared" si="9"/>
        <v>25970000</v>
      </c>
      <c r="M116" s="532">
        <f t="shared" si="9"/>
        <v>18850000</v>
      </c>
      <c r="N116" s="532">
        <f t="shared" si="9"/>
        <v>33513000</v>
      </c>
      <c r="O116" s="532">
        <f t="shared" si="9"/>
        <v>38213000</v>
      </c>
      <c r="P116" s="532">
        <f t="shared" si="9"/>
        <v>41083000</v>
      </c>
      <c r="Q116" s="532">
        <f t="shared" si="9"/>
        <v>6490000</v>
      </c>
      <c r="R116" s="532">
        <f t="shared" si="9"/>
        <v>8148000</v>
      </c>
      <c r="S116" s="532">
        <f t="shared" si="9"/>
        <v>13048000</v>
      </c>
      <c r="T116" s="532">
        <f t="shared" si="9"/>
        <v>7890000</v>
      </c>
      <c r="U116" s="522">
        <f t="shared" ref="U116:U117" si="10">T116-S116</f>
        <v>-5158000</v>
      </c>
      <c r="V116" s="500">
        <f t="shared" si="8"/>
        <v>-0.3953096259963213</v>
      </c>
      <c r="W116" s="451"/>
      <c r="X116" s="452"/>
      <c r="Y116" s="453"/>
      <c r="Z116" s="454"/>
    </row>
    <row r="117" spans="1:26" ht="23.25" customHeight="1" x14ac:dyDescent="0.3">
      <c r="A117" s="400"/>
      <c r="B117" s="368"/>
      <c r="C117" s="533" t="s">
        <v>40</v>
      </c>
      <c r="D117" s="531">
        <v>1100000</v>
      </c>
      <c r="E117" s="532">
        <v>0</v>
      </c>
      <c r="F117" s="532" t="e">
        <f>SUM(#REF!)</f>
        <v>#REF!</v>
      </c>
      <c r="G117" s="532">
        <v>1100000</v>
      </c>
      <c r="H117" s="532">
        <v>4000000</v>
      </c>
      <c r="I117" s="532">
        <v>2000000</v>
      </c>
      <c r="J117" s="532">
        <v>0</v>
      </c>
      <c r="K117" s="532">
        <v>15800000</v>
      </c>
      <c r="L117" s="532">
        <v>800000</v>
      </c>
      <c r="M117" s="532">
        <v>6300000</v>
      </c>
      <c r="N117" s="532">
        <v>5400000</v>
      </c>
      <c r="O117" s="532">
        <v>8400000</v>
      </c>
      <c r="P117" s="532">
        <v>10270000</v>
      </c>
      <c r="Q117" s="532">
        <v>0</v>
      </c>
      <c r="R117" s="532">
        <v>518000</v>
      </c>
      <c r="S117" s="532">
        <v>518000</v>
      </c>
      <c r="T117" s="532">
        <f>Z117</f>
        <v>0</v>
      </c>
      <c r="U117" s="522">
        <f t="shared" si="10"/>
        <v>-518000</v>
      </c>
      <c r="V117" s="500">
        <f t="shared" si="8"/>
        <v>-1</v>
      </c>
      <c r="W117" s="460"/>
      <c r="X117" s="461"/>
      <c r="Y117" s="462"/>
      <c r="Z117" s="463"/>
    </row>
    <row r="118" spans="1:26" ht="23.25" customHeight="1" x14ac:dyDescent="0.3">
      <c r="A118" s="400"/>
      <c r="B118" s="368"/>
      <c r="C118" s="533" t="s">
        <v>43</v>
      </c>
      <c r="D118" s="531">
        <v>495000</v>
      </c>
      <c r="E118" s="532">
        <v>0</v>
      </c>
      <c r="F118" s="532" t="e">
        <f>#REF!</f>
        <v>#REF!</v>
      </c>
      <c r="G118" s="532">
        <v>495000</v>
      </c>
      <c r="H118" s="532" t="e">
        <f>#REF!</f>
        <v>#REF!</v>
      </c>
      <c r="I118" s="532">
        <v>3600000</v>
      </c>
      <c r="J118" s="532">
        <v>300000</v>
      </c>
      <c r="K118" s="532">
        <v>7600000</v>
      </c>
      <c r="L118" s="532">
        <v>16050000</v>
      </c>
      <c r="M118" s="532">
        <v>4700000</v>
      </c>
      <c r="N118" s="532">
        <v>11263000</v>
      </c>
      <c r="O118" s="532">
        <v>15463000</v>
      </c>
      <c r="P118" s="532">
        <v>19463000</v>
      </c>
      <c r="Q118" s="532">
        <v>700000</v>
      </c>
      <c r="R118" s="532">
        <v>1140000</v>
      </c>
      <c r="S118" s="532">
        <v>4740000</v>
      </c>
      <c r="T118" s="532">
        <f>SUM(Z118:Z120)</f>
        <v>2400000</v>
      </c>
      <c r="U118" s="534">
        <f>T118-S118</f>
        <v>-2340000</v>
      </c>
      <c r="V118" s="459">
        <f t="shared" si="8"/>
        <v>-0.49367088607594939</v>
      </c>
      <c r="W118" s="460" t="s">
        <v>422</v>
      </c>
      <c r="X118" s="535" t="s">
        <v>423</v>
      </c>
      <c r="Y118" s="462" t="s">
        <v>433</v>
      </c>
      <c r="Z118" s="463">
        <f>1700000*1</f>
        <v>1700000</v>
      </c>
    </row>
    <row r="119" spans="1:26" ht="23.25" customHeight="1" x14ac:dyDescent="0.3">
      <c r="A119" s="400"/>
      <c r="B119" s="368"/>
      <c r="C119" s="536"/>
      <c r="D119" s="537"/>
      <c r="E119" s="538"/>
      <c r="F119" s="538"/>
      <c r="G119" s="538"/>
      <c r="H119" s="538"/>
      <c r="I119" s="538"/>
      <c r="J119" s="538"/>
      <c r="K119" s="538"/>
      <c r="L119" s="538"/>
      <c r="M119" s="538"/>
      <c r="N119" s="538"/>
      <c r="O119" s="538"/>
      <c r="P119" s="538"/>
      <c r="Q119" s="538"/>
      <c r="R119" s="538"/>
      <c r="S119" s="538"/>
      <c r="T119" s="538"/>
      <c r="U119" s="466"/>
      <c r="V119" s="467"/>
      <c r="W119" s="468" t="s">
        <v>432</v>
      </c>
      <c r="X119" s="539"/>
      <c r="Y119" s="326" t="s">
        <v>434</v>
      </c>
      <c r="Z119" s="471">
        <f>300000*1</f>
        <v>300000</v>
      </c>
    </row>
    <row r="120" spans="1:26" ht="23.25" customHeight="1" x14ac:dyDescent="0.3">
      <c r="A120" s="400"/>
      <c r="B120" s="368"/>
      <c r="C120" s="540"/>
      <c r="D120" s="541"/>
      <c r="E120" s="542"/>
      <c r="F120" s="542"/>
      <c r="G120" s="542"/>
      <c r="H120" s="542"/>
      <c r="I120" s="542"/>
      <c r="J120" s="542"/>
      <c r="K120" s="542"/>
      <c r="L120" s="542"/>
      <c r="M120" s="542"/>
      <c r="N120" s="542"/>
      <c r="O120" s="542"/>
      <c r="P120" s="542"/>
      <c r="Q120" s="542"/>
      <c r="R120" s="542"/>
      <c r="S120" s="542"/>
      <c r="T120" s="542"/>
      <c r="U120" s="481"/>
      <c r="V120" s="482"/>
      <c r="W120" s="493" t="s">
        <v>437</v>
      </c>
      <c r="X120" s="504"/>
      <c r="Y120" s="343" t="s">
        <v>438</v>
      </c>
      <c r="Z120" s="485">
        <f>400000*1</f>
        <v>400000</v>
      </c>
    </row>
    <row r="121" spans="1:26" ht="23.25" customHeight="1" x14ac:dyDescent="0.3">
      <c r="A121" s="400"/>
      <c r="B121" s="322"/>
      <c r="C121" s="543" t="s">
        <v>210</v>
      </c>
      <c r="D121" s="464">
        <v>12397000</v>
      </c>
      <c r="E121" s="465">
        <v>1526000</v>
      </c>
      <c r="F121" s="465">
        <v>2076000</v>
      </c>
      <c r="G121" s="465">
        <v>12397000</v>
      </c>
      <c r="H121" s="465">
        <v>3126000</v>
      </c>
      <c r="I121" s="465">
        <v>5770000</v>
      </c>
      <c r="J121" s="465">
        <v>2420000</v>
      </c>
      <c r="K121" s="465">
        <v>10620000</v>
      </c>
      <c r="L121" s="465">
        <v>9120000</v>
      </c>
      <c r="M121" s="465">
        <v>7850000</v>
      </c>
      <c r="N121" s="465">
        <v>16850000</v>
      </c>
      <c r="O121" s="465">
        <v>14350000</v>
      </c>
      <c r="P121" s="465">
        <v>11350000</v>
      </c>
      <c r="Q121" s="465">
        <v>5790000</v>
      </c>
      <c r="R121" s="465">
        <v>6490000</v>
      </c>
      <c r="S121" s="465">
        <v>7790000</v>
      </c>
      <c r="T121" s="465">
        <f>SUM(Z121:Z126)</f>
        <v>5490000</v>
      </c>
      <c r="U121" s="466">
        <f>T121-S121</f>
        <v>-2300000</v>
      </c>
      <c r="V121" s="467">
        <f>U121/S121</f>
        <v>-0.2952503209242619</v>
      </c>
      <c r="W121" s="472" t="s">
        <v>211</v>
      </c>
      <c r="X121" s="473"/>
      <c r="Y121" s="474" t="s">
        <v>212</v>
      </c>
      <c r="Z121" s="471">
        <f>130000*1</f>
        <v>130000</v>
      </c>
    </row>
    <row r="122" spans="1:26" ht="23.25" customHeight="1" x14ac:dyDescent="0.3">
      <c r="A122" s="400"/>
      <c r="B122" s="322"/>
      <c r="C122" s="543"/>
      <c r="D122" s="464"/>
      <c r="E122" s="465"/>
      <c r="F122" s="465"/>
      <c r="G122" s="465"/>
      <c r="H122" s="465"/>
      <c r="I122" s="465"/>
      <c r="J122" s="465"/>
      <c r="K122" s="465"/>
      <c r="L122" s="465"/>
      <c r="M122" s="465"/>
      <c r="N122" s="465"/>
      <c r="O122" s="465"/>
      <c r="P122" s="465"/>
      <c r="Q122" s="465"/>
      <c r="R122" s="465"/>
      <c r="S122" s="465"/>
      <c r="T122" s="465"/>
      <c r="U122" s="466"/>
      <c r="V122" s="467"/>
      <c r="W122" s="472" t="s">
        <v>213</v>
      </c>
      <c r="X122" s="473"/>
      <c r="Y122" s="474" t="s">
        <v>402</v>
      </c>
      <c r="Z122" s="471">
        <f>25000*2*12</f>
        <v>600000</v>
      </c>
    </row>
    <row r="123" spans="1:26" ht="23.25" customHeight="1" x14ac:dyDescent="0.3">
      <c r="A123" s="400"/>
      <c r="B123" s="322"/>
      <c r="C123" s="543"/>
      <c r="D123" s="464"/>
      <c r="E123" s="465"/>
      <c r="F123" s="465"/>
      <c r="G123" s="465"/>
      <c r="H123" s="465"/>
      <c r="I123" s="465"/>
      <c r="J123" s="465"/>
      <c r="K123" s="465"/>
      <c r="L123" s="465"/>
      <c r="M123" s="465"/>
      <c r="N123" s="465"/>
      <c r="O123" s="465"/>
      <c r="P123" s="465"/>
      <c r="Q123" s="465"/>
      <c r="R123" s="465"/>
      <c r="S123" s="465"/>
      <c r="T123" s="465"/>
      <c r="U123" s="466"/>
      <c r="V123" s="467"/>
      <c r="W123" s="472" t="s">
        <v>329</v>
      </c>
      <c r="X123" s="473"/>
      <c r="Y123" s="474" t="s">
        <v>330</v>
      </c>
      <c r="Z123" s="471">
        <f>700000*1</f>
        <v>700000</v>
      </c>
    </row>
    <row r="124" spans="1:26" ht="23.25" customHeight="1" x14ac:dyDescent="0.3">
      <c r="A124" s="400"/>
      <c r="B124" s="322"/>
      <c r="C124" s="544"/>
      <c r="D124" s="464"/>
      <c r="E124" s="465"/>
      <c r="F124" s="465"/>
      <c r="G124" s="465"/>
      <c r="H124" s="465"/>
      <c r="I124" s="465"/>
      <c r="J124" s="465"/>
      <c r="K124" s="465"/>
      <c r="L124" s="465"/>
      <c r="M124" s="465"/>
      <c r="N124" s="465"/>
      <c r="O124" s="465"/>
      <c r="P124" s="465"/>
      <c r="Q124" s="465"/>
      <c r="R124" s="465"/>
      <c r="S124" s="465"/>
      <c r="T124" s="465"/>
      <c r="U124" s="466"/>
      <c r="V124" s="467"/>
      <c r="W124" s="472" t="s">
        <v>214</v>
      </c>
      <c r="X124" s="473" t="s">
        <v>215</v>
      </c>
      <c r="Y124" s="474" t="s">
        <v>361</v>
      </c>
      <c r="Z124" s="471">
        <f>3000000*1</f>
        <v>3000000</v>
      </c>
    </row>
    <row r="125" spans="1:26" ht="23.25" customHeight="1" x14ac:dyDescent="0.3">
      <c r="A125" s="400"/>
      <c r="B125" s="322"/>
      <c r="C125" s="544"/>
      <c r="D125" s="464"/>
      <c r="E125" s="465"/>
      <c r="F125" s="465"/>
      <c r="G125" s="465"/>
      <c r="H125" s="465"/>
      <c r="I125" s="465"/>
      <c r="J125" s="465"/>
      <c r="K125" s="465"/>
      <c r="L125" s="465"/>
      <c r="M125" s="465"/>
      <c r="N125" s="465"/>
      <c r="O125" s="465"/>
      <c r="P125" s="465"/>
      <c r="Q125" s="465"/>
      <c r="R125" s="465"/>
      <c r="S125" s="465"/>
      <c r="T125" s="465"/>
      <c r="U125" s="466"/>
      <c r="V125" s="467"/>
      <c r="W125" s="472" t="s">
        <v>216</v>
      </c>
      <c r="X125" s="473"/>
      <c r="Y125" s="474" t="s">
        <v>217</v>
      </c>
      <c r="Z125" s="471">
        <f>90000*6</f>
        <v>540000</v>
      </c>
    </row>
    <row r="126" spans="1:26" ht="23.25" customHeight="1" x14ac:dyDescent="0.3">
      <c r="A126" s="400"/>
      <c r="B126" s="322"/>
      <c r="C126" s="544"/>
      <c r="D126" s="464"/>
      <c r="E126" s="465"/>
      <c r="F126" s="465"/>
      <c r="G126" s="465"/>
      <c r="H126" s="465"/>
      <c r="I126" s="465"/>
      <c r="J126" s="465"/>
      <c r="K126" s="465"/>
      <c r="L126" s="465"/>
      <c r="M126" s="465"/>
      <c r="N126" s="465"/>
      <c r="O126" s="465"/>
      <c r="P126" s="465"/>
      <c r="Q126" s="465"/>
      <c r="R126" s="465"/>
      <c r="S126" s="465"/>
      <c r="T126" s="465"/>
      <c r="U126" s="466"/>
      <c r="V126" s="467"/>
      <c r="W126" s="472" t="s">
        <v>218</v>
      </c>
      <c r="X126" s="473"/>
      <c r="Y126" s="474" t="s">
        <v>219</v>
      </c>
      <c r="Z126" s="471">
        <f>260000*2</f>
        <v>520000</v>
      </c>
    </row>
    <row r="127" spans="1:26" s="32" customFormat="1" ht="18" customHeight="1" x14ac:dyDescent="0.3">
      <c r="A127" s="545" t="s">
        <v>5</v>
      </c>
      <c r="B127" s="546"/>
      <c r="C127" s="547"/>
      <c r="D127" s="548">
        <f t="shared" ref="D127:J127" si="11">SUM(D129:D257)</f>
        <v>98075000</v>
      </c>
      <c r="E127" s="549">
        <f t="shared" si="11"/>
        <v>97476000</v>
      </c>
      <c r="F127" s="549">
        <f t="shared" si="11"/>
        <v>89002000</v>
      </c>
      <c r="G127" s="549">
        <f t="shared" si="11"/>
        <v>98075000</v>
      </c>
      <c r="H127" s="549">
        <f t="shared" si="11"/>
        <v>88957000</v>
      </c>
      <c r="I127" s="549">
        <f t="shared" si="11"/>
        <v>106460000</v>
      </c>
      <c r="J127" s="549">
        <f t="shared" si="11"/>
        <v>91765000</v>
      </c>
      <c r="K127" s="549">
        <f t="shared" ref="K127:T127" si="12">K128</f>
        <v>133839000</v>
      </c>
      <c r="L127" s="549">
        <f t="shared" si="12"/>
        <v>133839000</v>
      </c>
      <c r="M127" s="549">
        <f t="shared" si="12"/>
        <v>145514000</v>
      </c>
      <c r="N127" s="549">
        <f t="shared" si="12"/>
        <v>149914000</v>
      </c>
      <c r="O127" s="549">
        <f t="shared" si="12"/>
        <v>109740000</v>
      </c>
      <c r="P127" s="549">
        <f t="shared" si="12"/>
        <v>113225000</v>
      </c>
      <c r="Q127" s="549">
        <f t="shared" si="12"/>
        <v>158838000</v>
      </c>
      <c r="R127" s="549">
        <f t="shared" si="12"/>
        <v>150884000</v>
      </c>
      <c r="S127" s="549">
        <f t="shared" si="12"/>
        <v>2631207000</v>
      </c>
      <c r="T127" s="549">
        <f t="shared" si="12"/>
        <v>2617699000</v>
      </c>
      <c r="U127" s="550">
        <f>T127-S127</f>
        <v>-13508000</v>
      </c>
      <c r="V127" s="551">
        <f>U127/S127</f>
        <v>-5.1337656064308129E-3</v>
      </c>
      <c r="W127" s="442"/>
      <c r="X127" s="443"/>
      <c r="Y127" s="444"/>
      <c r="Z127" s="445"/>
    </row>
    <row r="128" spans="1:26" ht="18" customHeight="1" x14ac:dyDescent="0.3">
      <c r="A128" s="400"/>
      <c r="B128" s="378" t="s">
        <v>5</v>
      </c>
      <c r="C128" s="530"/>
      <c r="D128" s="552">
        <f t="shared" ref="D128:R128" si="13">SUM(D129:D257)</f>
        <v>98075000</v>
      </c>
      <c r="E128" s="553">
        <f t="shared" si="13"/>
        <v>97476000</v>
      </c>
      <c r="F128" s="553">
        <f t="shared" si="13"/>
        <v>89002000</v>
      </c>
      <c r="G128" s="553">
        <f t="shared" si="13"/>
        <v>98075000</v>
      </c>
      <c r="H128" s="553">
        <f t="shared" si="13"/>
        <v>88957000</v>
      </c>
      <c r="I128" s="553">
        <f t="shared" si="13"/>
        <v>106460000</v>
      </c>
      <c r="J128" s="553">
        <f t="shared" si="13"/>
        <v>91765000</v>
      </c>
      <c r="K128" s="553">
        <f t="shared" si="13"/>
        <v>133839000</v>
      </c>
      <c r="L128" s="553">
        <f t="shared" si="13"/>
        <v>133839000</v>
      </c>
      <c r="M128" s="553">
        <f t="shared" si="13"/>
        <v>145514000</v>
      </c>
      <c r="N128" s="553">
        <f t="shared" si="13"/>
        <v>149914000</v>
      </c>
      <c r="O128" s="553">
        <f t="shared" si="13"/>
        <v>109740000</v>
      </c>
      <c r="P128" s="553">
        <f t="shared" si="13"/>
        <v>113225000</v>
      </c>
      <c r="Q128" s="553">
        <f t="shared" si="13"/>
        <v>158838000</v>
      </c>
      <c r="R128" s="553">
        <f t="shared" si="13"/>
        <v>150884000</v>
      </c>
      <c r="S128" s="553">
        <f>SUM(S129:S275)</f>
        <v>2631207000</v>
      </c>
      <c r="T128" s="553">
        <f>SUM(T129:T275)</f>
        <v>2617699000</v>
      </c>
      <c r="U128" s="550">
        <f>T128-S128</f>
        <v>-13508000</v>
      </c>
      <c r="V128" s="551">
        <f>U128/S128</f>
        <v>-5.1337656064308129E-3</v>
      </c>
      <c r="W128" s="451"/>
      <c r="X128" s="452"/>
      <c r="Y128" s="453"/>
      <c r="Z128" s="454"/>
    </row>
    <row r="129" spans="1:26" ht="23.25" customHeight="1" x14ac:dyDescent="0.3">
      <c r="A129" s="400"/>
      <c r="B129" s="533"/>
      <c r="C129" s="554" t="s">
        <v>47</v>
      </c>
      <c r="D129" s="531">
        <v>26694000</v>
      </c>
      <c r="E129" s="532">
        <v>27040000</v>
      </c>
      <c r="F129" s="532">
        <v>27340000</v>
      </c>
      <c r="G129" s="532">
        <v>26694000</v>
      </c>
      <c r="H129" s="532">
        <v>24604000</v>
      </c>
      <c r="I129" s="532">
        <v>27672000</v>
      </c>
      <c r="J129" s="532">
        <v>28756000</v>
      </c>
      <c r="K129" s="532">
        <v>40516000</v>
      </c>
      <c r="L129" s="532">
        <v>40516000</v>
      </c>
      <c r="M129" s="532">
        <v>52148000</v>
      </c>
      <c r="N129" s="532">
        <v>52148000</v>
      </c>
      <c r="O129" s="532">
        <v>25248000</v>
      </c>
      <c r="P129" s="532">
        <v>18690000</v>
      </c>
      <c r="Q129" s="532">
        <v>63360000</v>
      </c>
      <c r="R129" s="532">
        <v>60038000</v>
      </c>
      <c r="S129" s="532">
        <v>60038000</v>
      </c>
      <c r="T129" s="532">
        <f>SUM(Z129:Z166)</f>
        <v>84655000</v>
      </c>
      <c r="U129" s="555">
        <f>T129-S129</f>
        <v>24617000</v>
      </c>
      <c r="V129" s="556">
        <f>U129/S129</f>
        <v>0.41002365168726473</v>
      </c>
      <c r="W129" s="557" t="s">
        <v>220</v>
      </c>
      <c r="X129" s="558" t="s">
        <v>221</v>
      </c>
      <c r="Y129" s="559" t="s">
        <v>593</v>
      </c>
      <c r="Z129" s="454">
        <f>150000*2</f>
        <v>300000</v>
      </c>
    </row>
    <row r="130" spans="1:26" ht="23.25" customHeight="1" x14ac:dyDescent="0.3">
      <c r="A130" s="400"/>
      <c r="B130" s="536"/>
      <c r="C130" s="543"/>
      <c r="D130" s="537"/>
      <c r="E130" s="538"/>
      <c r="F130" s="538"/>
      <c r="G130" s="538"/>
      <c r="H130" s="538"/>
      <c r="I130" s="538"/>
      <c r="J130" s="538"/>
      <c r="K130" s="538"/>
      <c r="L130" s="538"/>
      <c r="M130" s="538"/>
      <c r="N130" s="538"/>
      <c r="O130" s="538"/>
      <c r="P130" s="538"/>
      <c r="Q130" s="538"/>
      <c r="R130" s="538"/>
      <c r="S130" s="538"/>
      <c r="T130" s="538"/>
      <c r="U130" s="560"/>
      <c r="V130" s="561"/>
      <c r="W130" s="557" t="s">
        <v>222</v>
      </c>
      <c r="X130" s="558" t="s">
        <v>223</v>
      </c>
      <c r="Y130" s="559" t="s">
        <v>224</v>
      </c>
      <c r="Z130" s="454">
        <v>300000</v>
      </c>
    </row>
    <row r="131" spans="1:26" ht="23.25" customHeight="1" x14ac:dyDescent="0.3">
      <c r="A131" s="400"/>
      <c r="B131" s="536"/>
      <c r="C131" s="543"/>
      <c r="D131" s="537"/>
      <c r="E131" s="538"/>
      <c r="F131" s="538"/>
      <c r="G131" s="538"/>
      <c r="H131" s="538"/>
      <c r="I131" s="538"/>
      <c r="J131" s="538"/>
      <c r="K131" s="538"/>
      <c r="L131" s="538"/>
      <c r="M131" s="538"/>
      <c r="N131" s="538"/>
      <c r="O131" s="538"/>
      <c r="P131" s="538"/>
      <c r="Q131" s="538"/>
      <c r="R131" s="538"/>
      <c r="S131" s="538"/>
      <c r="T131" s="538"/>
      <c r="U131" s="560"/>
      <c r="V131" s="561"/>
      <c r="W131" s="557" t="s">
        <v>225</v>
      </c>
      <c r="X131" s="558"/>
      <c r="Y131" s="559" t="s">
        <v>226</v>
      </c>
      <c r="Z131" s="454">
        <f>200000*1</f>
        <v>200000</v>
      </c>
    </row>
    <row r="132" spans="1:26" ht="23.25" customHeight="1" x14ac:dyDescent="0.3">
      <c r="A132" s="400"/>
      <c r="B132" s="536"/>
      <c r="C132" s="543"/>
      <c r="D132" s="537"/>
      <c r="E132" s="538"/>
      <c r="F132" s="538"/>
      <c r="G132" s="538"/>
      <c r="H132" s="538"/>
      <c r="I132" s="538"/>
      <c r="J132" s="538"/>
      <c r="K132" s="538"/>
      <c r="L132" s="538"/>
      <c r="M132" s="538"/>
      <c r="N132" s="538"/>
      <c r="O132" s="538"/>
      <c r="P132" s="538"/>
      <c r="Q132" s="538"/>
      <c r="R132" s="538"/>
      <c r="S132" s="538"/>
      <c r="T132" s="538"/>
      <c r="U132" s="560"/>
      <c r="V132" s="561"/>
      <c r="W132" s="557" t="s">
        <v>227</v>
      </c>
      <c r="X132" s="558" t="s">
        <v>228</v>
      </c>
      <c r="Y132" s="559" t="s">
        <v>229</v>
      </c>
      <c r="Z132" s="454">
        <f>100000*2</f>
        <v>200000</v>
      </c>
    </row>
    <row r="133" spans="1:26" ht="23.25" customHeight="1" x14ac:dyDescent="0.3">
      <c r="A133" s="400"/>
      <c r="B133" s="536"/>
      <c r="C133" s="543"/>
      <c r="D133" s="537"/>
      <c r="E133" s="538"/>
      <c r="F133" s="538"/>
      <c r="G133" s="538"/>
      <c r="H133" s="538"/>
      <c r="I133" s="538"/>
      <c r="J133" s="538"/>
      <c r="K133" s="538"/>
      <c r="L133" s="538"/>
      <c r="M133" s="538"/>
      <c r="N133" s="538"/>
      <c r="O133" s="538"/>
      <c r="P133" s="538"/>
      <c r="Q133" s="538"/>
      <c r="R133" s="538"/>
      <c r="S133" s="538"/>
      <c r="T133" s="538"/>
      <c r="U133" s="560"/>
      <c r="V133" s="561"/>
      <c r="W133" s="451" t="s">
        <v>230</v>
      </c>
      <c r="X133" s="558" t="s">
        <v>231</v>
      </c>
      <c r="Y133" s="559" t="s">
        <v>594</v>
      </c>
      <c r="Z133" s="454">
        <f>25000*30</f>
        <v>750000</v>
      </c>
    </row>
    <row r="134" spans="1:26" ht="23.25" customHeight="1" x14ac:dyDescent="0.3">
      <c r="A134" s="400"/>
      <c r="B134" s="536"/>
      <c r="C134" s="544"/>
      <c r="D134" s="537"/>
      <c r="E134" s="538"/>
      <c r="F134" s="538"/>
      <c r="G134" s="538"/>
      <c r="H134" s="538"/>
      <c r="I134" s="538"/>
      <c r="J134" s="538"/>
      <c r="K134" s="538"/>
      <c r="L134" s="538"/>
      <c r="M134" s="538"/>
      <c r="N134" s="538"/>
      <c r="O134" s="538"/>
      <c r="P134" s="538"/>
      <c r="Q134" s="538"/>
      <c r="R134" s="538"/>
      <c r="S134" s="538"/>
      <c r="T134" s="538"/>
      <c r="U134" s="560"/>
      <c r="V134" s="561"/>
      <c r="W134" s="468" t="s">
        <v>232</v>
      </c>
      <c r="X134" s="562" t="s">
        <v>221</v>
      </c>
      <c r="Y134" s="346" t="s">
        <v>328</v>
      </c>
      <c r="Z134" s="485">
        <f>500000*2</f>
        <v>1000000</v>
      </c>
    </row>
    <row r="135" spans="1:26" ht="23.25" customHeight="1" x14ac:dyDescent="0.3">
      <c r="A135" s="400"/>
      <c r="B135" s="536"/>
      <c r="C135" s="544"/>
      <c r="D135" s="537"/>
      <c r="E135" s="538"/>
      <c r="F135" s="538"/>
      <c r="G135" s="538"/>
      <c r="H135" s="538"/>
      <c r="I135" s="538"/>
      <c r="J135" s="538"/>
      <c r="K135" s="538"/>
      <c r="L135" s="538"/>
      <c r="M135" s="538"/>
      <c r="N135" s="538"/>
      <c r="O135" s="538"/>
      <c r="P135" s="538"/>
      <c r="Q135" s="538"/>
      <c r="R135" s="538"/>
      <c r="S135" s="538"/>
      <c r="T135" s="538"/>
      <c r="U135" s="560"/>
      <c r="V135" s="561"/>
      <c r="W135" s="451" t="s">
        <v>233</v>
      </c>
      <c r="X135" s="558" t="s">
        <v>234</v>
      </c>
      <c r="Y135" s="559" t="s">
        <v>235</v>
      </c>
      <c r="Z135" s="454">
        <f>300000*1</f>
        <v>300000</v>
      </c>
    </row>
    <row r="136" spans="1:26" ht="23.25" customHeight="1" x14ac:dyDescent="0.3">
      <c r="A136" s="400"/>
      <c r="B136" s="322"/>
      <c r="C136" s="563"/>
      <c r="D136" s="464"/>
      <c r="E136" s="465"/>
      <c r="F136" s="465"/>
      <c r="G136" s="465"/>
      <c r="H136" s="465"/>
      <c r="I136" s="465"/>
      <c r="J136" s="465"/>
      <c r="K136" s="465"/>
      <c r="L136" s="465"/>
      <c r="M136" s="465"/>
      <c r="N136" s="465"/>
      <c r="O136" s="465"/>
      <c r="P136" s="465"/>
      <c r="Q136" s="465"/>
      <c r="R136" s="465"/>
      <c r="S136" s="465"/>
      <c r="T136" s="465"/>
      <c r="U136" s="466"/>
      <c r="V136" s="467"/>
      <c r="W136" s="468" t="s">
        <v>236</v>
      </c>
      <c r="X136" s="564" t="s">
        <v>237</v>
      </c>
      <c r="Y136" s="474" t="s">
        <v>407</v>
      </c>
      <c r="Z136" s="471">
        <f>39000*2*2*43</f>
        <v>6708000</v>
      </c>
    </row>
    <row r="137" spans="1:26" ht="23.25" customHeight="1" x14ac:dyDescent="0.3">
      <c r="A137" s="400"/>
      <c r="B137" s="322"/>
      <c r="C137" s="563"/>
      <c r="D137" s="464"/>
      <c r="E137" s="465"/>
      <c r="F137" s="465"/>
      <c r="G137" s="465"/>
      <c r="H137" s="465"/>
      <c r="I137" s="465"/>
      <c r="J137" s="465"/>
      <c r="K137" s="465"/>
      <c r="L137" s="465"/>
      <c r="M137" s="465"/>
      <c r="N137" s="465"/>
      <c r="O137" s="465"/>
      <c r="P137" s="465"/>
      <c r="Q137" s="465"/>
      <c r="R137" s="465"/>
      <c r="S137" s="465"/>
      <c r="T137" s="465"/>
      <c r="U137" s="466"/>
      <c r="V137" s="467"/>
      <c r="W137" s="472">
        <f>SUM(Z136:Z165)</f>
        <v>74605000</v>
      </c>
      <c r="X137" s="564"/>
      <c r="Y137" s="470" t="s">
        <v>408</v>
      </c>
      <c r="Z137" s="471">
        <f>7000*2*43</f>
        <v>602000</v>
      </c>
    </row>
    <row r="138" spans="1:26" ht="23.25" customHeight="1" x14ac:dyDescent="0.3">
      <c r="A138" s="400"/>
      <c r="B138" s="322"/>
      <c r="C138" s="563"/>
      <c r="D138" s="464"/>
      <c r="E138" s="465"/>
      <c r="F138" s="465"/>
      <c r="G138" s="465"/>
      <c r="H138" s="465"/>
      <c r="I138" s="465"/>
      <c r="J138" s="465"/>
      <c r="K138" s="465"/>
      <c r="L138" s="465"/>
      <c r="M138" s="465"/>
      <c r="N138" s="465"/>
      <c r="O138" s="465"/>
      <c r="P138" s="465"/>
      <c r="Q138" s="465"/>
      <c r="R138" s="465"/>
      <c r="S138" s="465"/>
      <c r="T138" s="465"/>
      <c r="U138" s="466"/>
      <c r="V138" s="467"/>
      <c r="W138" s="472"/>
      <c r="X138" s="503" t="s">
        <v>238</v>
      </c>
      <c r="Y138" s="474" t="s">
        <v>409</v>
      </c>
      <c r="Z138" s="471">
        <f>26000*2*1*43</f>
        <v>2236000</v>
      </c>
    </row>
    <row r="139" spans="1:26" ht="23.25" customHeight="1" x14ac:dyDescent="0.3">
      <c r="A139" s="400"/>
      <c r="B139" s="322"/>
      <c r="C139" s="322"/>
      <c r="D139" s="464"/>
      <c r="E139" s="465"/>
      <c r="F139" s="465"/>
      <c r="G139" s="465"/>
      <c r="H139" s="465"/>
      <c r="I139" s="465"/>
      <c r="J139" s="465"/>
      <c r="K139" s="465"/>
      <c r="L139" s="465"/>
      <c r="M139" s="465"/>
      <c r="N139" s="465"/>
      <c r="O139" s="465"/>
      <c r="P139" s="465"/>
      <c r="Q139" s="465"/>
      <c r="R139" s="465"/>
      <c r="S139" s="465"/>
      <c r="T139" s="465"/>
      <c r="U139" s="466"/>
      <c r="V139" s="467"/>
      <c r="W139" s="472"/>
      <c r="X139" s="503"/>
      <c r="Y139" s="470" t="s">
        <v>410</v>
      </c>
      <c r="Z139" s="471">
        <f>7000*1*43</f>
        <v>301000</v>
      </c>
    </row>
    <row r="140" spans="1:26" ht="23.25" customHeight="1" x14ac:dyDescent="0.3">
      <c r="A140" s="400"/>
      <c r="B140" s="322"/>
      <c r="C140" s="322"/>
      <c r="D140" s="464"/>
      <c r="E140" s="465"/>
      <c r="F140" s="465"/>
      <c r="G140" s="465"/>
      <c r="H140" s="465"/>
      <c r="I140" s="465"/>
      <c r="J140" s="465"/>
      <c r="K140" s="465"/>
      <c r="L140" s="465"/>
      <c r="M140" s="465"/>
      <c r="N140" s="465"/>
      <c r="O140" s="465"/>
      <c r="P140" s="465"/>
      <c r="Q140" s="465"/>
      <c r="R140" s="465"/>
      <c r="S140" s="465"/>
      <c r="T140" s="465"/>
      <c r="U140" s="466"/>
      <c r="V140" s="467"/>
      <c r="W140" s="472"/>
      <c r="X140" s="564" t="s">
        <v>239</v>
      </c>
      <c r="Y140" s="474" t="s">
        <v>411</v>
      </c>
      <c r="Z140" s="471">
        <f>26000*2*2*43</f>
        <v>4472000</v>
      </c>
    </row>
    <row r="141" spans="1:26" ht="23.25" customHeight="1" x14ac:dyDescent="0.3">
      <c r="A141" s="400"/>
      <c r="B141" s="322"/>
      <c r="C141" s="322"/>
      <c r="D141" s="464"/>
      <c r="E141" s="465"/>
      <c r="F141" s="465"/>
      <c r="G141" s="465"/>
      <c r="H141" s="465"/>
      <c r="I141" s="465"/>
      <c r="J141" s="465"/>
      <c r="K141" s="465"/>
      <c r="L141" s="465"/>
      <c r="M141" s="465"/>
      <c r="N141" s="465"/>
      <c r="O141" s="465"/>
      <c r="P141" s="465"/>
      <c r="Q141" s="465"/>
      <c r="R141" s="465"/>
      <c r="S141" s="465"/>
      <c r="T141" s="465"/>
      <c r="U141" s="466"/>
      <c r="V141" s="467"/>
      <c r="W141" s="472"/>
      <c r="X141" s="503"/>
      <c r="Y141" s="470" t="s">
        <v>412</v>
      </c>
      <c r="Z141" s="471">
        <f>7000*2*43</f>
        <v>602000</v>
      </c>
    </row>
    <row r="142" spans="1:26" ht="23.25" customHeight="1" x14ac:dyDescent="0.3">
      <c r="A142" s="400"/>
      <c r="B142" s="322"/>
      <c r="C142" s="322"/>
      <c r="D142" s="464"/>
      <c r="E142" s="465"/>
      <c r="F142" s="465"/>
      <c r="G142" s="465"/>
      <c r="H142" s="465"/>
      <c r="I142" s="465"/>
      <c r="J142" s="465"/>
      <c r="K142" s="465"/>
      <c r="L142" s="465"/>
      <c r="M142" s="465"/>
      <c r="N142" s="465"/>
      <c r="O142" s="465"/>
      <c r="P142" s="465"/>
      <c r="Q142" s="465"/>
      <c r="R142" s="465"/>
      <c r="S142" s="465"/>
      <c r="T142" s="465"/>
      <c r="U142" s="466"/>
      <c r="V142" s="467"/>
      <c r="W142" s="468"/>
      <c r="X142" s="564" t="s">
        <v>240</v>
      </c>
      <c r="Y142" s="474" t="s">
        <v>413</v>
      </c>
      <c r="Z142" s="471">
        <f>32000*2*2*43</f>
        <v>5504000</v>
      </c>
    </row>
    <row r="143" spans="1:26" ht="23.25" customHeight="1" x14ac:dyDescent="0.3">
      <c r="A143" s="400"/>
      <c r="B143" s="322"/>
      <c r="C143" s="322"/>
      <c r="D143" s="464"/>
      <c r="E143" s="465"/>
      <c r="F143" s="465"/>
      <c r="G143" s="465"/>
      <c r="H143" s="465"/>
      <c r="I143" s="465"/>
      <c r="J143" s="465"/>
      <c r="K143" s="465"/>
      <c r="L143" s="465"/>
      <c r="M143" s="465"/>
      <c r="N143" s="465"/>
      <c r="O143" s="465"/>
      <c r="P143" s="465"/>
      <c r="Q143" s="465"/>
      <c r="R143" s="465"/>
      <c r="S143" s="465"/>
      <c r="T143" s="465"/>
      <c r="U143" s="466"/>
      <c r="V143" s="467"/>
      <c r="W143" s="468"/>
      <c r="X143" s="503"/>
      <c r="Y143" s="470" t="s">
        <v>412</v>
      </c>
      <c r="Z143" s="471">
        <f>7000*2*43</f>
        <v>602000</v>
      </c>
    </row>
    <row r="144" spans="1:26" ht="23.25" customHeight="1" x14ac:dyDescent="0.3">
      <c r="A144" s="400"/>
      <c r="B144" s="322"/>
      <c r="C144" s="322"/>
      <c r="D144" s="464"/>
      <c r="E144" s="465"/>
      <c r="F144" s="465"/>
      <c r="G144" s="465"/>
      <c r="H144" s="465"/>
      <c r="I144" s="465"/>
      <c r="J144" s="465"/>
      <c r="K144" s="465"/>
      <c r="L144" s="465"/>
      <c r="M144" s="465"/>
      <c r="N144" s="465"/>
      <c r="O144" s="465"/>
      <c r="P144" s="465"/>
      <c r="Q144" s="465"/>
      <c r="R144" s="465"/>
      <c r="S144" s="465"/>
      <c r="T144" s="465"/>
      <c r="U144" s="466"/>
      <c r="V144" s="467"/>
      <c r="W144" s="468"/>
      <c r="X144" s="503" t="s">
        <v>241</v>
      </c>
      <c r="Y144" s="474" t="s">
        <v>414</v>
      </c>
      <c r="Z144" s="471">
        <f>32000*2*2*43</f>
        <v>5504000</v>
      </c>
    </row>
    <row r="145" spans="1:26" ht="23.25" customHeight="1" x14ac:dyDescent="0.3">
      <c r="A145" s="400"/>
      <c r="B145" s="322"/>
      <c r="C145" s="322"/>
      <c r="D145" s="464"/>
      <c r="E145" s="465"/>
      <c r="F145" s="465"/>
      <c r="G145" s="465"/>
      <c r="H145" s="465"/>
      <c r="I145" s="465"/>
      <c r="J145" s="465"/>
      <c r="K145" s="465"/>
      <c r="L145" s="465"/>
      <c r="M145" s="465"/>
      <c r="N145" s="465"/>
      <c r="O145" s="465"/>
      <c r="P145" s="465"/>
      <c r="Q145" s="465"/>
      <c r="R145" s="465"/>
      <c r="S145" s="465"/>
      <c r="T145" s="465"/>
      <c r="U145" s="466"/>
      <c r="V145" s="467"/>
      <c r="W145" s="468"/>
      <c r="X145" s="503"/>
      <c r="Y145" s="474" t="s">
        <v>412</v>
      </c>
      <c r="Z145" s="471">
        <f>7000*2*43</f>
        <v>602000</v>
      </c>
    </row>
    <row r="146" spans="1:26" ht="23.25" customHeight="1" x14ac:dyDescent="0.3">
      <c r="A146" s="400"/>
      <c r="B146" s="322"/>
      <c r="C146" s="322"/>
      <c r="D146" s="464"/>
      <c r="E146" s="465"/>
      <c r="F146" s="465"/>
      <c r="G146" s="465"/>
      <c r="H146" s="465"/>
      <c r="I146" s="465"/>
      <c r="J146" s="465"/>
      <c r="K146" s="465"/>
      <c r="L146" s="465"/>
      <c r="M146" s="465"/>
      <c r="N146" s="465"/>
      <c r="O146" s="465"/>
      <c r="P146" s="465"/>
      <c r="Q146" s="465"/>
      <c r="R146" s="465"/>
      <c r="S146" s="465"/>
      <c r="T146" s="465"/>
      <c r="U146" s="466"/>
      <c r="V146" s="467"/>
      <c r="W146" s="468"/>
      <c r="X146" s="564" t="s">
        <v>242</v>
      </c>
      <c r="Y146" s="474" t="s">
        <v>411</v>
      </c>
      <c r="Z146" s="471">
        <f>26000*2*2*43</f>
        <v>4472000</v>
      </c>
    </row>
    <row r="147" spans="1:26" ht="23.25" customHeight="1" x14ac:dyDescent="0.3">
      <c r="A147" s="400"/>
      <c r="B147" s="322"/>
      <c r="C147" s="322"/>
      <c r="D147" s="464"/>
      <c r="E147" s="465"/>
      <c r="F147" s="465"/>
      <c r="G147" s="465"/>
      <c r="H147" s="465"/>
      <c r="I147" s="465"/>
      <c r="J147" s="465"/>
      <c r="K147" s="465"/>
      <c r="L147" s="465"/>
      <c r="M147" s="465"/>
      <c r="N147" s="465"/>
      <c r="O147" s="465"/>
      <c r="P147" s="465"/>
      <c r="Q147" s="465"/>
      <c r="R147" s="465"/>
      <c r="S147" s="465"/>
      <c r="T147" s="465"/>
      <c r="U147" s="466"/>
      <c r="V147" s="467"/>
      <c r="W147" s="468"/>
      <c r="X147" s="503"/>
      <c r="Y147" s="470" t="s">
        <v>412</v>
      </c>
      <c r="Z147" s="471">
        <f>7000*2*43</f>
        <v>602000</v>
      </c>
    </row>
    <row r="148" spans="1:26" ht="23.25" customHeight="1" x14ac:dyDescent="0.3">
      <c r="A148" s="400"/>
      <c r="B148" s="322"/>
      <c r="C148" s="322"/>
      <c r="D148" s="464"/>
      <c r="E148" s="465"/>
      <c r="F148" s="465"/>
      <c r="G148" s="465"/>
      <c r="H148" s="465"/>
      <c r="I148" s="465"/>
      <c r="J148" s="465"/>
      <c r="K148" s="465"/>
      <c r="L148" s="465"/>
      <c r="M148" s="465"/>
      <c r="N148" s="465"/>
      <c r="O148" s="465"/>
      <c r="P148" s="465"/>
      <c r="Q148" s="465"/>
      <c r="R148" s="465"/>
      <c r="S148" s="465"/>
      <c r="T148" s="465"/>
      <c r="U148" s="466"/>
      <c r="V148" s="467"/>
      <c r="W148" s="468"/>
      <c r="X148" s="503" t="s">
        <v>243</v>
      </c>
      <c r="Y148" s="474" t="s">
        <v>411</v>
      </c>
      <c r="Z148" s="471">
        <f>26000*2*2*43</f>
        <v>4472000</v>
      </c>
    </row>
    <row r="149" spans="1:26" ht="23.25" customHeight="1" x14ac:dyDescent="0.3">
      <c r="A149" s="400"/>
      <c r="B149" s="322"/>
      <c r="C149" s="322"/>
      <c r="D149" s="464"/>
      <c r="E149" s="465"/>
      <c r="F149" s="465"/>
      <c r="G149" s="465"/>
      <c r="H149" s="465"/>
      <c r="I149" s="465"/>
      <c r="J149" s="465"/>
      <c r="K149" s="465"/>
      <c r="L149" s="465"/>
      <c r="M149" s="465"/>
      <c r="N149" s="465"/>
      <c r="O149" s="465"/>
      <c r="P149" s="465"/>
      <c r="Q149" s="465"/>
      <c r="R149" s="465"/>
      <c r="S149" s="465"/>
      <c r="T149" s="465"/>
      <c r="U149" s="466"/>
      <c r="V149" s="467"/>
      <c r="W149" s="468"/>
      <c r="X149" s="503"/>
      <c r="Y149" s="470" t="s">
        <v>412</v>
      </c>
      <c r="Z149" s="471">
        <f>7000*2*43</f>
        <v>602000</v>
      </c>
    </row>
    <row r="150" spans="1:26" ht="23.25" customHeight="1" x14ac:dyDescent="0.3">
      <c r="A150" s="400"/>
      <c r="B150" s="322"/>
      <c r="C150" s="322"/>
      <c r="D150" s="464"/>
      <c r="E150" s="465"/>
      <c r="F150" s="465"/>
      <c r="G150" s="465"/>
      <c r="H150" s="465"/>
      <c r="I150" s="465"/>
      <c r="J150" s="465"/>
      <c r="K150" s="465"/>
      <c r="L150" s="465"/>
      <c r="M150" s="465"/>
      <c r="N150" s="465"/>
      <c r="O150" s="465"/>
      <c r="P150" s="465"/>
      <c r="Q150" s="465"/>
      <c r="R150" s="465"/>
      <c r="S150" s="465"/>
      <c r="T150" s="465"/>
      <c r="U150" s="466"/>
      <c r="V150" s="467"/>
      <c r="W150" s="468"/>
      <c r="X150" s="564" t="s">
        <v>244</v>
      </c>
      <c r="Y150" s="474" t="s">
        <v>411</v>
      </c>
      <c r="Z150" s="471">
        <f>26000*2*2*43</f>
        <v>4472000</v>
      </c>
    </row>
    <row r="151" spans="1:26" ht="23.25" customHeight="1" x14ac:dyDescent="0.3">
      <c r="A151" s="400"/>
      <c r="B151" s="322"/>
      <c r="C151" s="322"/>
      <c r="D151" s="464"/>
      <c r="E151" s="465"/>
      <c r="F151" s="465"/>
      <c r="G151" s="465"/>
      <c r="H151" s="465"/>
      <c r="I151" s="465"/>
      <c r="J151" s="465"/>
      <c r="K151" s="465"/>
      <c r="L151" s="465"/>
      <c r="M151" s="465"/>
      <c r="N151" s="465"/>
      <c r="O151" s="465"/>
      <c r="P151" s="465"/>
      <c r="Q151" s="465"/>
      <c r="R151" s="465"/>
      <c r="S151" s="465"/>
      <c r="T151" s="465"/>
      <c r="U151" s="466"/>
      <c r="V151" s="467"/>
      <c r="W151" s="468"/>
      <c r="X151" s="503"/>
      <c r="Y151" s="470" t="s">
        <v>412</v>
      </c>
      <c r="Z151" s="471">
        <f>7000*2*43</f>
        <v>602000</v>
      </c>
    </row>
    <row r="152" spans="1:26" ht="23.25" customHeight="1" x14ac:dyDescent="0.3">
      <c r="A152" s="400"/>
      <c r="B152" s="322"/>
      <c r="C152" s="322"/>
      <c r="D152" s="464"/>
      <c r="E152" s="465"/>
      <c r="F152" s="465"/>
      <c r="G152" s="465"/>
      <c r="H152" s="465"/>
      <c r="I152" s="465"/>
      <c r="J152" s="465"/>
      <c r="K152" s="465"/>
      <c r="L152" s="465"/>
      <c r="M152" s="465"/>
      <c r="N152" s="465"/>
      <c r="O152" s="465"/>
      <c r="P152" s="465"/>
      <c r="Q152" s="465"/>
      <c r="R152" s="465"/>
      <c r="S152" s="465"/>
      <c r="T152" s="465"/>
      <c r="U152" s="466"/>
      <c r="V152" s="467"/>
      <c r="W152" s="468"/>
      <c r="X152" s="503" t="s">
        <v>245</v>
      </c>
      <c r="Y152" s="474" t="s">
        <v>415</v>
      </c>
      <c r="Z152" s="471">
        <f>46500*2*43</f>
        <v>3999000</v>
      </c>
    </row>
    <row r="153" spans="1:26" ht="23.25" customHeight="1" x14ac:dyDescent="0.3">
      <c r="A153" s="400"/>
      <c r="B153" s="322"/>
      <c r="C153" s="322"/>
      <c r="D153" s="464"/>
      <c r="E153" s="465"/>
      <c r="F153" s="465"/>
      <c r="G153" s="465"/>
      <c r="H153" s="465"/>
      <c r="I153" s="465"/>
      <c r="J153" s="465"/>
      <c r="K153" s="465"/>
      <c r="L153" s="465"/>
      <c r="M153" s="465"/>
      <c r="N153" s="465"/>
      <c r="O153" s="465"/>
      <c r="P153" s="465"/>
      <c r="Q153" s="465"/>
      <c r="R153" s="465"/>
      <c r="S153" s="465"/>
      <c r="T153" s="465"/>
      <c r="U153" s="466"/>
      <c r="V153" s="467"/>
      <c r="W153" s="472"/>
      <c r="X153" s="503"/>
      <c r="Y153" s="470" t="s">
        <v>416</v>
      </c>
      <c r="Z153" s="471">
        <f>7000*1*43</f>
        <v>301000</v>
      </c>
    </row>
    <row r="154" spans="1:26" ht="23.25" customHeight="1" x14ac:dyDescent="0.3">
      <c r="A154" s="400"/>
      <c r="B154" s="322"/>
      <c r="C154" s="322"/>
      <c r="D154" s="464"/>
      <c r="E154" s="465"/>
      <c r="F154" s="465"/>
      <c r="G154" s="465"/>
      <c r="H154" s="465"/>
      <c r="I154" s="465"/>
      <c r="J154" s="465"/>
      <c r="K154" s="465"/>
      <c r="L154" s="465"/>
      <c r="M154" s="465"/>
      <c r="N154" s="465"/>
      <c r="O154" s="465"/>
      <c r="P154" s="465"/>
      <c r="Q154" s="465"/>
      <c r="R154" s="465"/>
      <c r="S154" s="465"/>
      <c r="T154" s="465"/>
      <c r="U154" s="466"/>
      <c r="V154" s="467"/>
      <c r="W154" s="472"/>
      <c r="X154" s="503" t="s">
        <v>246</v>
      </c>
      <c r="Y154" s="474" t="s">
        <v>417</v>
      </c>
      <c r="Z154" s="471">
        <f>26000*2*2*43</f>
        <v>4472000</v>
      </c>
    </row>
    <row r="155" spans="1:26" ht="23.25" customHeight="1" x14ac:dyDescent="0.3">
      <c r="A155" s="400"/>
      <c r="B155" s="322"/>
      <c r="C155" s="322"/>
      <c r="D155" s="464"/>
      <c r="E155" s="465"/>
      <c r="F155" s="465"/>
      <c r="G155" s="465"/>
      <c r="H155" s="465"/>
      <c r="I155" s="465"/>
      <c r="J155" s="465"/>
      <c r="K155" s="465"/>
      <c r="L155" s="465"/>
      <c r="M155" s="465"/>
      <c r="N155" s="465"/>
      <c r="O155" s="465"/>
      <c r="P155" s="465"/>
      <c r="Q155" s="465"/>
      <c r="R155" s="465"/>
      <c r="S155" s="465"/>
      <c r="T155" s="465"/>
      <c r="U155" s="466"/>
      <c r="V155" s="467"/>
      <c r="W155" s="472"/>
      <c r="X155" s="503"/>
      <c r="Y155" s="470" t="s">
        <v>408</v>
      </c>
      <c r="Z155" s="471">
        <f>7000*2*43</f>
        <v>602000</v>
      </c>
    </row>
    <row r="156" spans="1:26" ht="23.25" customHeight="1" x14ac:dyDescent="0.3">
      <c r="A156" s="400"/>
      <c r="B156" s="322"/>
      <c r="C156" s="322"/>
      <c r="D156" s="464"/>
      <c r="E156" s="465"/>
      <c r="F156" s="465"/>
      <c r="G156" s="465"/>
      <c r="H156" s="465"/>
      <c r="I156" s="465"/>
      <c r="J156" s="465"/>
      <c r="K156" s="465"/>
      <c r="L156" s="465"/>
      <c r="M156" s="465"/>
      <c r="N156" s="465"/>
      <c r="O156" s="465"/>
      <c r="P156" s="465"/>
      <c r="Q156" s="465"/>
      <c r="R156" s="465"/>
      <c r="S156" s="465"/>
      <c r="T156" s="465"/>
      <c r="U156" s="466"/>
      <c r="V156" s="467"/>
      <c r="W156" s="472"/>
      <c r="X156" s="503" t="s">
        <v>247</v>
      </c>
      <c r="Y156" s="474" t="s">
        <v>417</v>
      </c>
      <c r="Z156" s="471">
        <f>26000*2*2*43</f>
        <v>4472000</v>
      </c>
    </row>
    <row r="157" spans="1:26" ht="23.25" customHeight="1" x14ac:dyDescent="0.3">
      <c r="A157" s="400"/>
      <c r="B157" s="322"/>
      <c r="C157" s="322"/>
      <c r="D157" s="464"/>
      <c r="E157" s="465"/>
      <c r="F157" s="465"/>
      <c r="G157" s="465"/>
      <c r="H157" s="465"/>
      <c r="I157" s="465"/>
      <c r="J157" s="465"/>
      <c r="K157" s="465"/>
      <c r="L157" s="465"/>
      <c r="M157" s="465"/>
      <c r="N157" s="465"/>
      <c r="O157" s="465"/>
      <c r="P157" s="465"/>
      <c r="Q157" s="465"/>
      <c r="R157" s="465"/>
      <c r="S157" s="465"/>
      <c r="T157" s="465"/>
      <c r="U157" s="466"/>
      <c r="V157" s="467"/>
      <c r="W157" s="472"/>
      <c r="X157" s="503"/>
      <c r="Y157" s="470" t="s">
        <v>408</v>
      </c>
      <c r="Z157" s="471">
        <f>7000*2*43</f>
        <v>602000</v>
      </c>
    </row>
    <row r="158" spans="1:26" ht="23.25" customHeight="1" x14ac:dyDescent="0.3">
      <c r="A158" s="400"/>
      <c r="B158" s="322"/>
      <c r="C158" s="322"/>
      <c r="D158" s="464"/>
      <c r="E158" s="465"/>
      <c r="F158" s="465"/>
      <c r="G158" s="465"/>
      <c r="H158" s="465"/>
      <c r="I158" s="465"/>
      <c r="J158" s="465"/>
      <c r="K158" s="465"/>
      <c r="L158" s="465"/>
      <c r="M158" s="465"/>
      <c r="N158" s="465"/>
      <c r="O158" s="465"/>
      <c r="P158" s="465"/>
      <c r="Q158" s="465"/>
      <c r="R158" s="465"/>
      <c r="S158" s="465"/>
      <c r="T158" s="465"/>
      <c r="U158" s="466"/>
      <c r="V158" s="467"/>
      <c r="W158" s="472"/>
      <c r="X158" s="503" t="s">
        <v>248</v>
      </c>
      <c r="Y158" s="474" t="s">
        <v>418</v>
      </c>
      <c r="Z158" s="471">
        <f>26000*2*2*43</f>
        <v>4472000</v>
      </c>
    </row>
    <row r="159" spans="1:26" ht="23.25" customHeight="1" x14ac:dyDescent="0.3">
      <c r="A159" s="400"/>
      <c r="B159" s="322"/>
      <c r="C159" s="322"/>
      <c r="D159" s="464"/>
      <c r="E159" s="465"/>
      <c r="F159" s="465"/>
      <c r="G159" s="465"/>
      <c r="H159" s="465"/>
      <c r="I159" s="465"/>
      <c r="J159" s="465"/>
      <c r="K159" s="465"/>
      <c r="L159" s="465"/>
      <c r="M159" s="465"/>
      <c r="N159" s="465"/>
      <c r="O159" s="465"/>
      <c r="P159" s="465"/>
      <c r="Q159" s="465"/>
      <c r="R159" s="465"/>
      <c r="S159" s="465"/>
      <c r="T159" s="465"/>
      <c r="U159" s="466"/>
      <c r="V159" s="467"/>
      <c r="W159" s="472"/>
      <c r="X159" s="503"/>
      <c r="Y159" s="470" t="s">
        <v>412</v>
      </c>
      <c r="Z159" s="471">
        <f>7000*2*43</f>
        <v>602000</v>
      </c>
    </row>
    <row r="160" spans="1:26" ht="23.25" customHeight="1" x14ac:dyDescent="0.3">
      <c r="A160" s="400"/>
      <c r="B160" s="322"/>
      <c r="C160" s="322"/>
      <c r="D160" s="464"/>
      <c r="E160" s="465"/>
      <c r="F160" s="465"/>
      <c r="G160" s="465"/>
      <c r="H160" s="465"/>
      <c r="I160" s="465"/>
      <c r="J160" s="465"/>
      <c r="K160" s="465"/>
      <c r="L160" s="465"/>
      <c r="M160" s="465"/>
      <c r="N160" s="465"/>
      <c r="O160" s="465"/>
      <c r="P160" s="465"/>
      <c r="Q160" s="465"/>
      <c r="R160" s="465"/>
      <c r="S160" s="465"/>
      <c r="T160" s="465"/>
      <c r="U160" s="466"/>
      <c r="V160" s="467"/>
      <c r="W160" s="472"/>
      <c r="X160" s="503" t="s">
        <v>249</v>
      </c>
      <c r="Y160" s="474" t="s">
        <v>419</v>
      </c>
      <c r="Z160" s="471">
        <f>36000*2*2*43</f>
        <v>6192000</v>
      </c>
    </row>
    <row r="161" spans="1:26" ht="23.25" customHeight="1" x14ac:dyDescent="0.3">
      <c r="A161" s="400"/>
      <c r="B161" s="322"/>
      <c r="C161" s="322"/>
      <c r="D161" s="464"/>
      <c r="E161" s="465"/>
      <c r="F161" s="465"/>
      <c r="G161" s="465"/>
      <c r="H161" s="465"/>
      <c r="I161" s="465"/>
      <c r="J161" s="465"/>
      <c r="K161" s="465"/>
      <c r="L161" s="465"/>
      <c r="M161" s="465"/>
      <c r="N161" s="465"/>
      <c r="O161" s="465"/>
      <c r="P161" s="465"/>
      <c r="Q161" s="465"/>
      <c r="R161" s="465"/>
      <c r="S161" s="465"/>
      <c r="T161" s="465"/>
      <c r="U161" s="466"/>
      <c r="V161" s="467"/>
      <c r="W161" s="472"/>
      <c r="X161" s="503"/>
      <c r="Y161" s="470" t="s">
        <v>412</v>
      </c>
      <c r="Z161" s="471">
        <f>7000*2*43</f>
        <v>602000</v>
      </c>
    </row>
    <row r="162" spans="1:26" ht="23.25" customHeight="1" x14ac:dyDescent="0.3">
      <c r="A162" s="400"/>
      <c r="B162" s="322"/>
      <c r="C162" s="322"/>
      <c r="D162" s="464"/>
      <c r="E162" s="465"/>
      <c r="F162" s="465"/>
      <c r="G162" s="465"/>
      <c r="H162" s="465"/>
      <c r="I162" s="465"/>
      <c r="J162" s="465"/>
      <c r="K162" s="465"/>
      <c r="L162" s="465"/>
      <c r="M162" s="465"/>
      <c r="N162" s="465"/>
      <c r="O162" s="465"/>
      <c r="P162" s="465"/>
      <c r="Q162" s="465"/>
      <c r="R162" s="465"/>
      <c r="S162" s="465"/>
      <c r="T162" s="465"/>
      <c r="U162" s="466"/>
      <c r="V162" s="467"/>
      <c r="W162" s="472"/>
      <c r="X162" s="503" t="s">
        <v>250</v>
      </c>
      <c r="Y162" s="474" t="s">
        <v>420</v>
      </c>
      <c r="Z162" s="471">
        <f>36000*2*43</f>
        <v>3096000</v>
      </c>
    </row>
    <row r="163" spans="1:26" ht="23.25" customHeight="1" x14ac:dyDescent="0.3">
      <c r="A163" s="400"/>
      <c r="B163" s="322"/>
      <c r="C163" s="322"/>
      <c r="D163" s="464"/>
      <c r="E163" s="465"/>
      <c r="F163" s="465"/>
      <c r="G163" s="465"/>
      <c r="H163" s="465"/>
      <c r="I163" s="465"/>
      <c r="J163" s="465"/>
      <c r="K163" s="465"/>
      <c r="L163" s="465"/>
      <c r="M163" s="465"/>
      <c r="N163" s="465"/>
      <c r="O163" s="465"/>
      <c r="P163" s="465"/>
      <c r="Q163" s="465"/>
      <c r="R163" s="465"/>
      <c r="S163" s="465"/>
      <c r="T163" s="465"/>
      <c r="U163" s="466"/>
      <c r="V163" s="565"/>
      <c r="W163" s="472"/>
      <c r="X163" s="503"/>
      <c r="Y163" s="326" t="s">
        <v>421</v>
      </c>
      <c r="Z163" s="471">
        <f>7000*1*43</f>
        <v>301000</v>
      </c>
    </row>
    <row r="164" spans="1:26" ht="23.25" customHeight="1" x14ac:dyDescent="0.3">
      <c r="A164" s="400"/>
      <c r="B164" s="322"/>
      <c r="C164" s="322"/>
      <c r="D164" s="464"/>
      <c r="E164" s="465"/>
      <c r="F164" s="465"/>
      <c r="G164" s="465"/>
      <c r="H164" s="465"/>
      <c r="I164" s="465"/>
      <c r="J164" s="465"/>
      <c r="K164" s="465"/>
      <c r="L164" s="465"/>
      <c r="M164" s="465"/>
      <c r="N164" s="465"/>
      <c r="O164" s="465"/>
      <c r="P164" s="465"/>
      <c r="Q164" s="465"/>
      <c r="R164" s="465"/>
      <c r="S164" s="465"/>
      <c r="T164" s="465"/>
      <c r="U164" s="466"/>
      <c r="V164" s="467"/>
      <c r="W164" s="472"/>
      <c r="X164" s="503" t="s">
        <v>616</v>
      </c>
      <c r="Y164" s="326" t="s">
        <v>617</v>
      </c>
      <c r="Z164" s="471">
        <f>26000*2*1*43</f>
        <v>2236000</v>
      </c>
    </row>
    <row r="165" spans="1:26" ht="23.25" customHeight="1" x14ac:dyDescent="0.3">
      <c r="A165" s="400"/>
      <c r="B165" s="322"/>
      <c r="C165" s="322"/>
      <c r="D165" s="464"/>
      <c r="E165" s="465"/>
      <c r="F165" s="465"/>
      <c r="G165" s="465"/>
      <c r="H165" s="465"/>
      <c r="I165" s="465"/>
      <c r="J165" s="465"/>
      <c r="K165" s="465"/>
      <c r="L165" s="465"/>
      <c r="M165" s="465"/>
      <c r="N165" s="465"/>
      <c r="O165" s="465"/>
      <c r="P165" s="465"/>
      <c r="Q165" s="465"/>
      <c r="R165" s="465"/>
      <c r="S165" s="465"/>
      <c r="T165" s="465"/>
      <c r="U165" s="466"/>
      <c r="V165" s="467"/>
      <c r="W165" s="483"/>
      <c r="X165" s="562"/>
      <c r="Y165" s="343" t="s">
        <v>595</v>
      </c>
      <c r="Z165" s="485">
        <f>7000*1*43</f>
        <v>301000</v>
      </c>
    </row>
    <row r="166" spans="1:26" ht="23.25" customHeight="1" x14ac:dyDescent="0.3">
      <c r="A166" s="400"/>
      <c r="B166" s="322"/>
      <c r="C166" s="348"/>
      <c r="D166" s="479"/>
      <c r="E166" s="480"/>
      <c r="F166" s="480"/>
      <c r="G166" s="480"/>
      <c r="H166" s="480"/>
      <c r="I166" s="480"/>
      <c r="J166" s="480"/>
      <c r="K166" s="480"/>
      <c r="L166" s="480"/>
      <c r="M166" s="480"/>
      <c r="N166" s="480"/>
      <c r="O166" s="480"/>
      <c r="P166" s="480"/>
      <c r="Q166" s="480"/>
      <c r="R166" s="480"/>
      <c r="S166" s="480"/>
      <c r="T166" s="480"/>
      <c r="U166" s="481"/>
      <c r="V166" s="482"/>
      <c r="W166" s="483" t="s">
        <v>424</v>
      </c>
      <c r="X166" s="562"/>
      <c r="Y166" s="343" t="s">
        <v>425</v>
      </c>
      <c r="Z166" s="485">
        <f>7000000*1</f>
        <v>7000000</v>
      </c>
    </row>
    <row r="167" spans="1:26" ht="23.25" customHeight="1" x14ac:dyDescent="0.3">
      <c r="A167" s="400"/>
      <c r="B167" s="322"/>
      <c r="C167" s="488" t="s">
        <v>492</v>
      </c>
      <c r="D167" s="464"/>
      <c r="E167" s="465"/>
      <c r="F167" s="465"/>
      <c r="G167" s="465"/>
      <c r="H167" s="465"/>
      <c r="I167" s="465"/>
      <c r="J167" s="465"/>
      <c r="K167" s="465"/>
      <c r="L167" s="465"/>
      <c r="M167" s="465"/>
      <c r="N167" s="465"/>
      <c r="O167" s="465"/>
      <c r="P167" s="465"/>
      <c r="Q167" s="465"/>
      <c r="R167" s="465"/>
      <c r="S167" s="465">
        <v>2107007000</v>
      </c>
      <c r="T167" s="465">
        <f>SUM(Z167:Z171)</f>
        <v>2097360000</v>
      </c>
      <c r="U167" s="458">
        <f t="shared" ref="U167" si="14">T167-S167</f>
        <v>-9647000</v>
      </c>
      <c r="V167" s="459">
        <v>4</v>
      </c>
      <c r="W167" s="472" t="s">
        <v>528</v>
      </c>
      <c r="X167" s="503" t="s">
        <v>529</v>
      </c>
      <c r="Y167" s="326" t="s">
        <v>530</v>
      </c>
      <c r="Z167" s="471">
        <f>270000*642*11</f>
        <v>1906740000</v>
      </c>
    </row>
    <row r="168" spans="1:26" ht="23.25" customHeight="1" x14ac:dyDescent="0.3">
      <c r="A168" s="400"/>
      <c r="B168" s="322"/>
      <c r="C168" s="490"/>
      <c r="D168" s="464"/>
      <c r="E168" s="465"/>
      <c r="F168" s="465"/>
      <c r="G168" s="465"/>
      <c r="H168" s="465"/>
      <c r="I168" s="465"/>
      <c r="J168" s="465"/>
      <c r="K168" s="465"/>
      <c r="L168" s="465"/>
      <c r="M168" s="465"/>
      <c r="N168" s="465"/>
      <c r="O168" s="465"/>
      <c r="P168" s="465"/>
      <c r="Q168" s="465"/>
      <c r="R168" s="465"/>
      <c r="S168" s="465"/>
      <c r="T168" s="465"/>
      <c r="U168" s="466"/>
      <c r="V168" s="467"/>
      <c r="W168" s="483" t="s">
        <v>533</v>
      </c>
      <c r="X168" s="562"/>
      <c r="Y168" s="343" t="s">
        <v>534</v>
      </c>
      <c r="Z168" s="485">
        <f>115560000*1</f>
        <v>115560000</v>
      </c>
    </row>
    <row r="169" spans="1:26" ht="23.25" customHeight="1" x14ac:dyDescent="0.3">
      <c r="A169" s="400"/>
      <c r="B169" s="322"/>
      <c r="C169" s="490"/>
      <c r="D169" s="464"/>
      <c r="E169" s="465"/>
      <c r="F169" s="465"/>
      <c r="G169" s="465"/>
      <c r="H169" s="465"/>
      <c r="I169" s="465"/>
      <c r="J169" s="465"/>
      <c r="K169" s="465"/>
      <c r="L169" s="465"/>
      <c r="M169" s="465"/>
      <c r="N169" s="465"/>
      <c r="O169" s="465"/>
      <c r="P169" s="465"/>
      <c r="Q169" s="465"/>
      <c r="R169" s="465"/>
      <c r="S169" s="465"/>
      <c r="T169" s="465"/>
      <c r="U169" s="466"/>
      <c r="V169" s="467"/>
      <c r="W169" s="472" t="s">
        <v>531</v>
      </c>
      <c r="X169" s="503" t="s">
        <v>529</v>
      </c>
      <c r="Y169" s="326" t="s">
        <v>532</v>
      </c>
      <c r="Z169" s="471">
        <f>180000*18*10</f>
        <v>32400000</v>
      </c>
    </row>
    <row r="170" spans="1:26" ht="23.25" customHeight="1" x14ac:dyDescent="0.3">
      <c r="A170" s="400"/>
      <c r="B170" s="322"/>
      <c r="C170" s="566"/>
      <c r="D170" s="464"/>
      <c r="E170" s="465"/>
      <c r="F170" s="465"/>
      <c r="G170" s="465"/>
      <c r="H170" s="465"/>
      <c r="I170" s="465"/>
      <c r="J170" s="465"/>
      <c r="K170" s="465"/>
      <c r="L170" s="465"/>
      <c r="M170" s="465"/>
      <c r="N170" s="465"/>
      <c r="O170" s="465"/>
      <c r="P170" s="465"/>
      <c r="Q170" s="465"/>
      <c r="R170" s="465"/>
      <c r="S170" s="465"/>
      <c r="T170" s="465"/>
      <c r="U170" s="466"/>
      <c r="V170" s="467"/>
      <c r="W170" s="483" t="s">
        <v>535</v>
      </c>
      <c r="X170" s="562"/>
      <c r="Y170" s="343" t="s">
        <v>536</v>
      </c>
      <c r="Z170" s="485">
        <f>15660000*1</f>
        <v>15660000</v>
      </c>
    </row>
    <row r="171" spans="1:26" ht="23.25" customHeight="1" x14ac:dyDescent="0.3">
      <c r="A171" s="400"/>
      <c r="B171" s="322"/>
      <c r="C171" s="348"/>
      <c r="D171" s="479"/>
      <c r="E171" s="480"/>
      <c r="F171" s="480"/>
      <c r="G171" s="480"/>
      <c r="H171" s="480"/>
      <c r="I171" s="480"/>
      <c r="J171" s="480"/>
      <c r="K171" s="480"/>
      <c r="L171" s="480"/>
      <c r="M171" s="480"/>
      <c r="N171" s="480"/>
      <c r="O171" s="480"/>
      <c r="P171" s="480"/>
      <c r="Q171" s="480"/>
      <c r="R171" s="480"/>
      <c r="S171" s="480"/>
      <c r="T171" s="480"/>
      <c r="U171" s="481"/>
      <c r="V171" s="482"/>
      <c r="W171" s="483" t="s">
        <v>537</v>
      </c>
      <c r="X171" s="503"/>
      <c r="Y171" s="326" t="s">
        <v>538</v>
      </c>
      <c r="Z171" s="471">
        <f>27000000*1</f>
        <v>27000000</v>
      </c>
    </row>
    <row r="172" spans="1:26" ht="23.25" customHeight="1" x14ac:dyDescent="0.3">
      <c r="A172" s="400"/>
      <c r="B172" s="322"/>
      <c r="C172" s="490" t="s">
        <v>251</v>
      </c>
      <c r="D172" s="464"/>
      <c r="E172" s="465"/>
      <c r="F172" s="465"/>
      <c r="G172" s="465"/>
      <c r="H172" s="465"/>
      <c r="I172" s="567">
        <v>2000000</v>
      </c>
      <c r="J172" s="567">
        <v>500000</v>
      </c>
      <c r="K172" s="568">
        <v>6000000</v>
      </c>
      <c r="L172" s="568">
        <v>6000000</v>
      </c>
      <c r="M172" s="568">
        <v>8300000</v>
      </c>
      <c r="N172" s="568">
        <v>9500000</v>
      </c>
      <c r="O172" s="475">
        <v>4000000</v>
      </c>
      <c r="P172" s="475">
        <v>13100000</v>
      </c>
      <c r="Q172" s="475">
        <v>1000000</v>
      </c>
      <c r="R172" s="475">
        <v>1000000</v>
      </c>
      <c r="S172" s="475">
        <v>1000000</v>
      </c>
      <c r="T172" s="475">
        <f>SUM(Z172:Z172)</f>
        <v>200000</v>
      </c>
      <c r="U172" s="569">
        <f>T172-S172</f>
        <v>-800000</v>
      </c>
      <c r="V172" s="570">
        <f>U172/S172</f>
        <v>-0.8</v>
      </c>
      <c r="W172" s="472" t="s">
        <v>252</v>
      </c>
      <c r="X172" s="571" t="s">
        <v>253</v>
      </c>
      <c r="Y172" s="462" t="s">
        <v>270</v>
      </c>
      <c r="Z172" s="463">
        <f>100000*2</f>
        <v>200000</v>
      </c>
    </row>
    <row r="173" spans="1:26" ht="23.25" customHeight="1" x14ac:dyDescent="0.3">
      <c r="A173" s="400"/>
      <c r="B173" s="322"/>
      <c r="C173" s="490"/>
      <c r="D173" s="479"/>
      <c r="E173" s="480"/>
      <c r="F173" s="480"/>
      <c r="G173" s="480"/>
      <c r="H173" s="480"/>
      <c r="I173" s="567"/>
      <c r="J173" s="567"/>
      <c r="K173" s="568"/>
      <c r="L173" s="568"/>
      <c r="M173" s="568"/>
      <c r="N173" s="568"/>
      <c r="O173" s="475"/>
      <c r="P173" s="475"/>
      <c r="Q173" s="475"/>
      <c r="R173" s="475"/>
      <c r="S173" s="475"/>
      <c r="T173" s="475"/>
      <c r="U173" s="569"/>
      <c r="V173" s="572"/>
      <c r="W173" s="483"/>
      <c r="X173" s="573"/>
      <c r="Y173" s="574"/>
      <c r="Z173" s="575"/>
    </row>
    <row r="174" spans="1:26" ht="23.25" customHeight="1" x14ac:dyDescent="0.3">
      <c r="A174" s="400"/>
      <c r="B174" s="322"/>
      <c r="C174" s="488" t="s">
        <v>254</v>
      </c>
      <c r="D174" s="531">
        <v>48601000</v>
      </c>
      <c r="E174" s="532">
        <v>46296000</v>
      </c>
      <c r="F174" s="532">
        <v>35922000</v>
      </c>
      <c r="G174" s="532">
        <v>48601000</v>
      </c>
      <c r="H174" s="532">
        <v>33613000</v>
      </c>
      <c r="I174" s="532">
        <v>39609000</v>
      </c>
      <c r="J174" s="532">
        <v>36869000</v>
      </c>
      <c r="K174" s="532">
        <v>42243000</v>
      </c>
      <c r="L174" s="532">
        <v>42243000</v>
      </c>
      <c r="M174" s="532">
        <v>42556000</v>
      </c>
      <c r="N174" s="532">
        <v>43556000</v>
      </c>
      <c r="O174" s="532">
        <v>34332000</v>
      </c>
      <c r="P174" s="532">
        <v>34175000</v>
      </c>
      <c r="Q174" s="532">
        <v>43268000</v>
      </c>
      <c r="R174" s="532">
        <v>40636000</v>
      </c>
      <c r="S174" s="532">
        <v>95836000</v>
      </c>
      <c r="T174" s="532">
        <f>SUM(Z174:Z184)</f>
        <v>109100000</v>
      </c>
      <c r="U174" s="555">
        <f>T174-S174</f>
        <v>13264000</v>
      </c>
      <c r="V174" s="561">
        <f>U174/S174</f>
        <v>0.13840310530489586</v>
      </c>
      <c r="W174" s="468" t="s">
        <v>255</v>
      </c>
      <c r="X174" s="469" t="s">
        <v>256</v>
      </c>
      <c r="Y174" s="470" t="s">
        <v>446</v>
      </c>
      <c r="Z174" s="486">
        <f>2054000*12</f>
        <v>24648000</v>
      </c>
    </row>
    <row r="175" spans="1:26" ht="23.25" customHeight="1" x14ac:dyDescent="0.3">
      <c r="A175" s="400"/>
      <c r="B175" s="322"/>
      <c r="C175" s="490"/>
      <c r="D175" s="537"/>
      <c r="E175" s="538"/>
      <c r="F175" s="538"/>
      <c r="G175" s="538"/>
      <c r="H175" s="538"/>
      <c r="I175" s="538"/>
      <c r="J175" s="538"/>
      <c r="K175" s="538"/>
      <c r="L175" s="538"/>
      <c r="M175" s="538"/>
      <c r="N175" s="538"/>
      <c r="O175" s="538"/>
      <c r="P175" s="538"/>
      <c r="Q175" s="538"/>
      <c r="R175" s="538"/>
      <c r="S175" s="538"/>
      <c r="T175" s="538"/>
      <c r="U175" s="560"/>
      <c r="V175" s="561"/>
      <c r="W175" s="468">
        <f>SUM(Z174:Z182)</f>
        <v>41748000</v>
      </c>
      <c r="X175" s="469"/>
      <c r="Y175" s="470" t="s">
        <v>257</v>
      </c>
      <c r="Z175" s="486">
        <f>500000*12</f>
        <v>6000000</v>
      </c>
    </row>
    <row r="176" spans="1:26" ht="23.25" customHeight="1" x14ac:dyDescent="0.3">
      <c r="A176" s="400"/>
      <c r="B176" s="322"/>
      <c r="C176" s="536"/>
      <c r="D176" s="537"/>
      <c r="E176" s="538"/>
      <c r="F176" s="538"/>
      <c r="G176" s="538"/>
      <c r="H176" s="538"/>
      <c r="I176" s="538"/>
      <c r="J176" s="538"/>
      <c r="K176" s="538"/>
      <c r="L176" s="538"/>
      <c r="M176" s="538"/>
      <c r="N176" s="538"/>
      <c r="O176" s="538"/>
      <c r="P176" s="538"/>
      <c r="Q176" s="538"/>
      <c r="R176" s="538"/>
      <c r="S176" s="538"/>
      <c r="T176" s="538"/>
      <c r="U176" s="560"/>
      <c r="V176" s="561"/>
      <c r="W176" s="468"/>
      <c r="X176" s="469" t="s">
        <v>258</v>
      </c>
      <c r="Y176" s="470" t="s">
        <v>259</v>
      </c>
      <c r="Z176" s="486">
        <f>2500000*1</f>
        <v>2500000</v>
      </c>
    </row>
    <row r="177" spans="1:26" ht="23.25" customHeight="1" x14ac:dyDescent="0.3">
      <c r="A177" s="400"/>
      <c r="B177" s="322"/>
      <c r="C177" s="536"/>
      <c r="D177" s="537"/>
      <c r="E177" s="538"/>
      <c r="F177" s="538"/>
      <c r="G177" s="538"/>
      <c r="H177" s="538"/>
      <c r="I177" s="538"/>
      <c r="J177" s="538"/>
      <c r="K177" s="538"/>
      <c r="L177" s="538"/>
      <c r="M177" s="538"/>
      <c r="N177" s="538"/>
      <c r="O177" s="538"/>
      <c r="P177" s="538"/>
      <c r="Q177" s="538"/>
      <c r="R177" s="538"/>
      <c r="S177" s="538"/>
      <c r="T177" s="538"/>
      <c r="U177" s="560"/>
      <c r="V177" s="561"/>
      <c r="W177" s="468"/>
      <c r="X177" s="469"/>
      <c r="Y177" s="470" t="s">
        <v>260</v>
      </c>
      <c r="Z177" s="486">
        <f>250000*12</f>
        <v>3000000</v>
      </c>
    </row>
    <row r="178" spans="1:26" ht="23.25" customHeight="1" x14ac:dyDescent="0.3">
      <c r="A178" s="400"/>
      <c r="B178" s="322"/>
      <c r="C178" s="536"/>
      <c r="D178" s="537"/>
      <c r="E178" s="538"/>
      <c r="F178" s="538"/>
      <c r="G178" s="538"/>
      <c r="H178" s="538"/>
      <c r="I178" s="538"/>
      <c r="J178" s="538"/>
      <c r="K178" s="538"/>
      <c r="L178" s="538"/>
      <c r="M178" s="538"/>
      <c r="N178" s="538"/>
      <c r="O178" s="538"/>
      <c r="P178" s="538"/>
      <c r="Q178" s="538"/>
      <c r="R178" s="538"/>
      <c r="S178" s="538"/>
      <c r="T178" s="538"/>
      <c r="U178" s="560"/>
      <c r="V178" s="561"/>
      <c r="W178" s="468"/>
      <c r="X178" s="469"/>
      <c r="Y178" s="470" t="s">
        <v>261</v>
      </c>
      <c r="Z178" s="486">
        <f>1000000*1</f>
        <v>1000000</v>
      </c>
    </row>
    <row r="179" spans="1:26" ht="23.25" customHeight="1" x14ac:dyDescent="0.3">
      <c r="A179" s="400"/>
      <c r="B179" s="322"/>
      <c r="C179" s="536"/>
      <c r="D179" s="537"/>
      <c r="E179" s="538"/>
      <c r="F179" s="538"/>
      <c r="G179" s="538"/>
      <c r="H179" s="538"/>
      <c r="I179" s="538"/>
      <c r="J179" s="538"/>
      <c r="K179" s="538"/>
      <c r="L179" s="538"/>
      <c r="M179" s="538"/>
      <c r="N179" s="538"/>
      <c r="O179" s="538"/>
      <c r="P179" s="538"/>
      <c r="Q179" s="538"/>
      <c r="R179" s="538"/>
      <c r="S179" s="538"/>
      <c r="T179" s="538"/>
      <c r="U179" s="560"/>
      <c r="V179" s="561"/>
      <c r="W179" s="468"/>
      <c r="X179" s="469"/>
      <c r="Y179" s="470" t="s">
        <v>262</v>
      </c>
      <c r="Z179" s="486">
        <v>4000000</v>
      </c>
    </row>
    <row r="180" spans="1:26" ht="23.25" customHeight="1" x14ac:dyDescent="0.3">
      <c r="A180" s="400"/>
      <c r="B180" s="322"/>
      <c r="C180" s="536"/>
      <c r="D180" s="537"/>
      <c r="E180" s="538"/>
      <c r="F180" s="538"/>
      <c r="G180" s="538"/>
      <c r="H180" s="538"/>
      <c r="I180" s="538"/>
      <c r="J180" s="538"/>
      <c r="K180" s="538"/>
      <c r="L180" s="538"/>
      <c r="M180" s="538"/>
      <c r="N180" s="538"/>
      <c r="O180" s="538"/>
      <c r="P180" s="538"/>
      <c r="Q180" s="538"/>
      <c r="R180" s="538"/>
      <c r="S180" s="538"/>
      <c r="T180" s="538"/>
      <c r="U180" s="560"/>
      <c r="V180" s="561"/>
      <c r="W180" s="468"/>
      <c r="X180" s="469" t="s">
        <v>263</v>
      </c>
      <c r="Y180" s="470" t="s">
        <v>264</v>
      </c>
      <c r="Z180" s="486">
        <f>50000*1</f>
        <v>50000</v>
      </c>
    </row>
    <row r="181" spans="1:26" ht="23.25" customHeight="1" x14ac:dyDescent="0.3">
      <c r="A181" s="400"/>
      <c r="B181" s="322"/>
      <c r="C181" s="536"/>
      <c r="D181" s="537"/>
      <c r="E181" s="538"/>
      <c r="F181" s="538"/>
      <c r="G181" s="538"/>
      <c r="H181" s="538"/>
      <c r="I181" s="538"/>
      <c r="J181" s="538"/>
      <c r="K181" s="538"/>
      <c r="L181" s="538"/>
      <c r="M181" s="538"/>
      <c r="N181" s="538"/>
      <c r="O181" s="538"/>
      <c r="P181" s="538"/>
      <c r="Q181" s="538"/>
      <c r="R181" s="538"/>
      <c r="S181" s="538"/>
      <c r="T181" s="538"/>
      <c r="U181" s="560"/>
      <c r="V181" s="561"/>
      <c r="W181" s="468"/>
      <c r="X181" s="469"/>
      <c r="Y181" s="470" t="s">
        <v>265</v>
      </c>
      <c r="Z181" s="486">
        <f>50000*1</f>
        <v>50000</v>
      </c>
    </row>
    <row r="182" spans="1:26" ht="23.25" customHeight="1" x14ac:dyDescent="0.3">
      <c r="A182" s="400"/>
      <c r="B182" s="322"/>
      <c r="C182" s="536"/>
      <c r="D182" s="537"/>
      <c r="E182" s="538"/>
      <c r="F182" s="538"/>
      <c r="G182" s="538"/>
      <c r="H182" s="538"/>
      <c r="I182" s="538"/>
      <c r="J182" s="538"/>
      <c r="K182" s="538"/>
      <c r="L182" s="538"/>
      <c r="M182" s="538"/>
      <c r="N182" s="538"/>
      <c r="O182" s="538"/>
      <c r="P182" s="538"/>
      <c r="Q182" s="538"/>
      <c r="R182" s="538"/>
      <c r="S182" s="538"/>
      <c r="T182" s="538"/>
      <c r="U182" s="560"/>
      <c r="V182" s="561"/>
      <c r="W182" s="493"/>
      <c r="X182" s="494" t="s">
        <v>266</v>
      </c>
      <c r="Y182" s="343" t="s">
        <v>267</v>
      </c>
      <c r="Z182" s="576">
        <v>500000</v>
      </c>
    </row>
    <row r="183" spans="1:26" ht="23.25" customHeight="1" x14ac:dyDescent="0.3">
      <c r="A183" s="400"/>
      <c r="B183" s="322"/>
      <c r="C183" s="536"/>
      <c r="D183" s="537"/>
      <c r="E183" s="538"/>
      <c r="F183" s="538"/>
      <c r="G183" s="538"/>
      <c r="H183" s="538"/>
      <c r="I183" s="538"/>
      <c r="J183" s="538"/>
      <c r="K183" s="538"/>
      <c r="L183" s="538"/>
      <c r="M183" s="538"/>
      <c r="N183" s="538"/>
      <c r="O183" s="538"/>
      <c r="P183" s="538"/>
      <c r="Q183" s="538"/>
      <c r="R183" s="538"/>
      <c r="S183" s="538"/>
      <c r="T183" s="538"/>
      <c r="U183" s="560"/>
      <c r="V183" s="561"/>
      <c r="W183" s="451" t="s">
        <v>493</v>
      </c>
      <c r="X183" s="452"/>
      <c r="Y183" s="577" t="s">
        <v>497</v>
      </c>
      <c r="Z183" s="578">
        <f>ROUNDUP(3500*237*63,-3)</f>
        <v>52259000</v>
      </c>
    </row>
    <row r="184" spans="1:26" ht="23.25" customHeight="1" x14ac:dyDescent="0.3">
      <c r="A184" s="400"/>
      <c r="B184" s="322"/>
      <c r="C184" s="536"/>
      <c r="D184" s="537"/>
      <c r="E184" s="538"/>
      <c r="F184" s="538"/>
      <c r="G184" s="538"/>
      <c r="H184" s="538"/>
      <c r="I184" s="538"/>
      <c r="J184" s="538"/>
      <c r="K184" s="538"/>
      <c r="L184" s="538"/>
      <c r="M184" s="538"/>
      <c r="N184" s="538"/>
      <c r="O184" s="538"/>
      <c r="P184" s="538"/>
      <c r="Q184" s="538"/>
      <c r="R184" s="538"/>
      <c r="S184" s="538"/>
      <c r="T184" s="538"/>
      <c r="U184" s="560"/>
      <c r="V184" s="561"/>
      <c r="W184" s="468" t="s">
        <v>494</v>
      </c>
      <c r="X184" s="469"/>
      <c r="Y184" s="470" t="s">
        <v>498</v>
      </c>
      <c r="Z184" s="486">
        <f>1350*52*5*43</f>
        <v>15093000</v>
      </c>
    </row>
    <row r="185" spans="1:26" ht="23.25" customHeight="1" x14ac:dyDescent="0.3">
      <c r="A185" s="400"/>
      <c r="B185" s="322"/>
      <c r="C185" s="488" t="s">
        <v>52</v>
      </c>
      <c r="D185" s="531">
        <v>1400000</v>
      </c>
      <c r="E185" s="532">
        <v>1400000</v>
      </c>
      <c r="F185" s="532">
        <v>1400000</v>
      </c>
      <c r="G185" s="532">
        <v>1400000</v>
      </c>
      <c r="H185" s="532">
        <v>1400000</v>
      </c>
      <c r="I185" s="532">
        <v>1400000</v>
      </c>
      <c r="J185" s="532">
        <v>1200000</v>
      </c>
      <c r="K185" s="532">
        <v>1200000</v>
      </c>
      <c r="L185" s="532">
        <v>1200000</v>
      </c>
      <c r="M185" s="532">
        <v>1200000</v>
      </c>
      <c r="N185" s="532">
        <v>1200000</v>
      </c>
      <c r="O185" s="532">
        <v>1200000</v>
      </c>
      <c r="P185" s="532">
        <v>1200000</v>
      </c>
      <c r="Q185" s="532">
        <v>1200000</v>
      </c>
      <c r="R185" s="532">
        <v>1200000</v>
      </c>
      <c r="S185" s="532">
        <v>450000</v>
      </c>
      <c r="T185" s="532">
        <f>SUM(Z185)</f>
        <v>1600000</v>
      </c>
      <c r="U185" s="555">
        <f>T185-S185</f>
        <v>1150000</v>
      </c>
      <c r="V185" s="556">
        <f>U185/S185</f>
        <v>2.5555555555555554</v>
      </c>
      <c r="W185" s="460" t="s">
        <v>145</v>
      </c>
      <c r="X185" s="579" t="s">
        <v>32</v>
      </c>
      <c r="Y185" s="462" t="s">
        <v>360</v>
      </c>
      <c r="Z185" s="580">
        <f>200000*8</f>
        <v>1600000</v>
      </c>
    </row>
    <row r="186" spans="1:26" ht="23.25" customHeight="1" x14ac:dyDescent="0.3">
      <c r="A186" s="400"/>
      <c r="B186" s="322"/>
      <c r="C186" s="581"/>
      <c r="D186" s="537"/>
      <c r="E186" s="538"/>
      <c r="F186" s="538"/>
      <c r="G186" s="538"/>
      <c r="H186" s="542"/>
      <c r="I186" s="542"/>
      <c r="J186" s="542"/>
      <c r="K186" s="542"/>
      <c r="L186" s="542"/>
      <c r="M186" s="542"/>
      <c r="N186" s="542"/>
      <c r="O186" s="542"/>
      <c r="P186" s="542"/>
      <c r="Q186" s="542"/>
      <c r="R186" s="542"/>
      <c r="S186" s="542"/>
      <c r="T186" s="542"/>
      <c r="U186" s="449"/>
      <c r="V186" s="450"/>
      <c r="W186" s="493"/>
      <c r="X186" s="494"/>
      <c r="Y186" s="343"/>
      <c r="Z186" s="576"/>
    </row>
    <row r="187" spans="1:26" ht="27.75" customHeight="1" x14ac:dyDescent="0.3">
      <c r="A187" s="400"/>
      <c r="B187" s="322"/>
      <c r="C187" s="488" t="s">
        <v>54</v>
      </c>
      <c r="D187" s="537"/>
      <c r="E187" s="538"/>
      <c r="F187" s="538"/>
      <c r="G187" s="538"/>
      <c r="H187" s="538">
        <v>0</v>
      </c>
      <c r="I187" s="538">
        <v>500000</v>
      </c>
      <c r="J187" s="538">
        <v>500000</v>
      </c>
      <c r="K187" s="538">
        <v>500000</v>
      </c>
      <c r="L187" s="538">
        <v>500000</v>
      </c>
      <c r="M187" s="538">
        <v>500000</v>
      </c>
      <c r="N187" s="538">
        <v>1200000</v>
      </c>
      <c r="O187" s="538">
        <v>1200000</v>
      </c>
      <c r="P187" s="538">
        <v>1200000</v>
      </c>
      <c r="Q187" s="538">
        <v>7500000</v>
      </c>
      <c r="R187" s="538">
        <v>7500000</v>
      </c>
      <c r="S187" s="538">
        <v>3500000</v>
      </c>
      <c r="T187" s="538">
        <f>SUM(Z187:Z190)</f>
        <v>4500000</v>
      </c>
      <c r="U187" s="560">
        <f>T187-S187</f>
        <v>1000000</v>
      </c>
      <c r="V187" s="561">
        <f>U187/S187</f>
        <v>0.2857142857142857</v>
      </c>
      <c r="W187" s="468" t="s">
        <v>269</v>
      </c>
      <c r="X187" s="469" t="s">
        <v>221</v>
      </c>
      <c r="Y187" s="470" t="s">
        <v>270</v>
      </c>
      <c r="Z187" s="486">
        <f>100000*2</f>
        <v>200000</v>
      </c>
    </row>
    <row r="188" spans="1:26" ht="27.75" customHeight="1" x14ac:dyDescent="0.3">
      <c r="A188" s="400"/>
      <c r="B188" s="322"/>
      <c r="C188" s="490"/>
      <c r="D188" s="537"/>
      <c r="E188" s="538"/>
      <c r="F188" s="538"/>
      <c r="G188" s="538"/>
      <c r="H188" s="538"/>
      <c r="I188" s="538"/>
      <c r="J188" s="538"/>
      <c r="K188" s="538"/>
      <c r="L188" s="538"/>
      <c r="M188" s="538"/>
      <c r="N188" s="538"/>
      <c r="O188" s="538"/>
      <c r="P188" s="538"/>
      <c r="Q188" s="538"/>
      <c r="R188" s="538"/>
      <c r="S188" s="538"/>
      <c r="T188" s="538"/>
      <c r="U188" s="560"/>
      <c r="V188" s="561"/>
      <c r="W188" s="468" t="s">
        <v>584</v>
      </c>
      <c r="X188" s="469" t="s">
        <v>585</v>
      </c>
      <c r="Y188" s="470" t="s">
        <v>593</v>
      </c>
      <c r="Z188" s="486">
        <f>150000*2</f>
        <v>300000</v>
      </c>
    </row>
    <row r="189" spans="1:26" ht="27.75" customHeight="1" x14ac:dyDescent="0.3">
      <c r="A189" s="400"/>
      <c r="B189" s="322"/>
      <c r="C189" s="492"/>
      <c r="D189" s="537"/>
      <c r="E189" s="538"/>
      <c r="F189" s="538"/>
      <c r="G189" s="538"/>
      <c r="H189" s="538"/>
      <c r="I189" s="538"/>
      <c r="J189" s="538"/>
      <c r="K189" s="538"/>
      <c r="L189" s="538"/>
      <c r="M189" s="538"/>
      <c r="N189" s="538"/>
      <c r="O189" s="538"/>
      <c r="P189" s="538"/>
      <c r="Q189" s="538"/>
      <c r="R189" s="538"/>
      <c r="S189" s="538"/>
      <c r="T189" s="538"/>
      <c r="U189" s="560"/>
      <c r="V189" s="561"/>
      <c r="W189" s="468" t="s">
        <v>272</v>
      </c>
      <c r="X189" s="469" t="s">
        <v>273</v>
      </c>
      <c r="Y189" s="470" t="s">
        <v>361</v>
      </c>
      <c r="Z189" s="486">
        <f>3000000*1</f>
        <v>3000000</v>
      </c>
    </row>
    <row r="190" spans="1:26" ht="27.75" customHeight="1" x14ac:dyDescent="0.3">
      <c r="A190" s="400"/>
      <c r="B190" s="322"/>
      <c r="C190" s="492"/>
      <c r="D190" s="537"/>
      <c r="E190" s="538"/>
      <c r="F190" s="538"/>
      <c r="G190" s="538"/>
      <c r="H190" s="538"/>
      <c r="I190" s="538"/>
      <c r="J190" s="538"/>
      <c r="K190" s="538"/>
      <c r="L190" s="538"/>
      <c r="M190" s="538"/>
      <c r="N190" s="538"/>
      <c r="O190" s="538"/>
      <c r="P190" s="538"/>
      <c r="Q190" s="538"/>
      <c r="R190" s="538"/>
      <c r="S190" s="538"/>
      <c r="T190" s="538"/>
      <c r="U190" s="560"/>
      <c r="V190" s="561"/>
      <c r="W190" s="468" t="s">
        <v>274</v>
      </c>
      <c r="X190" s="469" t="s">
        <v>275</v>
      </c>
      <c r="Y190" s="470" t="s">
        <v>328</v>
      </c>
      <c r="Z190" s="486">
        <f>500000*2</f>
        <v>1000000</v>
      </c>
    </row>
    <row r="191" spans="1:26" ht="29.25" customHeight="1" x14ac:dyDescent="0.3">
      <c r="A191" s="400"/>
      <c r="B191" s="322"/>
      <c r="C191" s="488" t="s">
        <v>56</v>
      </c>
      <c r="D191" s="487">
        <v>80000</v>
      </c>
      <c r="E191" s="457">
        <v>160000</v>
      </c>
      <c r="F191" s="457">
        <v>160000</v>
      </c>
      <c r="G191" s="457">
        <v>80000</v>
      </c>
      <c r="H191" s="457">
        <v>160000</v>
      </c>
      <c r="I191" s="457">
        <v>180000</v>
      </c>
      <c r="J191" s="457">
        <v>300000</v>
      </c>
      <c r="K191" s="457">
        <v>600000</v>
      </c>
      <c r="L191" s="457">
        <v>600000</v>
      </c>
      <c r="M191" s="457">
        <v>600000</v>
      </c>
      <c r="N191" s="457">
        <v>600000</v>
      </c>
      <c r="O191" s="457">
        <v>600000</v>
      </c>
      <c r="P191" s="457">
        <v>600000</v>
      </c>
      <c r="Q191" s="457">
        <v>900000</v>
      </c>
      <c r="R191" s="457">
        <v>900000</v>
      </c>
      <c r="S191" s="457">
        <v>900000</v>
      </c>
      <c r="T191" s="457">
        <f>SUM(Z191:Z195)</f>
        <v>2600000</v>
      </c>
      <c r="U191" s="458">
        <f>T191-S191</f>
        <v>1700000</v>
      </c>
      <c r="V191" s="459">
        <f>U191/S191</f>
        <v>1.8888888888888888</v>
      </c>
      <c r="W191" s="460" t="s">
        <v>277</v>
      </c>
      <c r="X191" s="579" t="s">
        <v>278</v>
      </c>
      <c r="Y191" s="462" t="s">
        <v>279</v>
      </c>
      <c r="Z191" s="463">
        <f>100000*1</f>
        <v>100000</v>
      </c>
    </row>
    <row r="192" spans="1:26" ht="29.25" customHeight="1" x14ac:dyDescent="0.3">
      <c r="A192" s="400"/>
      <c r="B192" s="322"/>
      <c r="C192" s="490"/>
      <c r="D192" s="464"/>
      <c r="E192" s="465"/>
      <c r="F192" s="465"/>
      <c r="G192" s="465"/>
      <c r="H192" s="465"/>
      <c r="I192" s="465"/>
      <c r="J192" s="465"/>
      <c r="K192" s="465"/>
      <c r="L192" s="465"/>
      <c r="M192" s="465"/>
      <c r="N192" s="465"/>
      <c r="O192" s="465"/>
      <c r="P192" s="465"/>
      <c r="Q192" s="465"/>
      <c r="R192" s="465"/>
      <c r="S192" s="465"/>
      <c r="T192" s="465"/>
      <c r="U192" s="466"/>
      <c r="V192" s="467"/>
      <c r="W192" s="468"/>
      <c r="X192" s="477" t="s">
        <v>280</v>
      </c>
      <c r="Y192" s="326" t="s">
        <v>271</v>
      </c>
      <c r="Z192" s="471">
        <f>300000*1</f>
        <v>300000</v>
      </c>
    </row>
    <row r="193" spans="1:26" ht="29.25" customHeight="1" x14ac:dyDescent="0.3">
      <c r="A193" s="400"/>
      <c r="B193" s="322"/>
      <c r="C193" s="490"/>
      <c r="D193" s="464"/>
      <c r="E193" s="465"/>
      <c r="F193" s="465"/>
      <c r="G193" s="465"/>
      <c r="H193" s="465"/>
      <c r="I193" s="465"/>
      <c r="J193" s="465"/>
      <c r="K193" s="465"/>
      <c r="L193" s="465"/>
      <c r="M193" s="465"/>
      <c r="N193" s="465"/>
      <c r="O193" s="465"/>
      <c r="P193" s="465"/>
      <c r="Q193" s="465"/>
      <c r="R193" s="465"/>
      <c r="S193" s="465"/>
      <c r="T193" s="465"/>
      <c r="U193" s="466"/>
      <c r="V193" s="467"/>
      <c r="W193" s="468"/>
      <c r="X193" s="477" t="s">
        <v>324</v>
      </c>
      <c r="Y193" s="326" t="s">
        <v>325</v>
      </c>
      <c r="Z193" s="471">
        <v>200000</v>
      </c>
    </row>
    <row r="194" spans="1:26" ht="29.25" customHeight="1" x14ac:dyDescent="0.3">
      <c r="A194" s="400"/>
      <c r="B194" s="322"/>
      <c r="C194" s="490"/>
      <c r="D194" s="464"/>
      <c r="E194" s="465"/>
      <c r="F194" s="465"/>
      <c r="G194" s="465"/>
      <c r="H194" s="465"/>
      <c r="I194" s="465"/>
      <c r="J194" s="465"/>
      <c r="K194" s="465"/>
      <c r="L194" s="465"/>
      <c r="M194" s="465"/>
      <c r="N194" s="465"/>
      <c r="O194" s="465"/>
      <c r="P194" s="465"/>
      <c r="Q194" s="465"/>
      <c r="R194" s="465"/>
      <c r="S194" s="465"/>
      <c r="T194" s="465"/>
      <c r="U194" s="466"/>
      <c r="V194" s="467"/>
      <c r="W194" s="468"/>
      <c r="X194" s="477" t="s">
        <v>450</v>
      </c>
      <c r="Y194" s="326" t="s">
        <v>406</v>
      </c>
      <c r="Z194" s="471">
        <f>100000*15*1</f>
        <v>1500000</v>
      </c>
    </row>
    <row r="195" spans="1:26" ht="28.5" customHeight="1" x14ac:dyDescent="0.3">
      <c r="A195" s="400"/>
      <c r="B195" s="322"/>
      <c r="C195" s="581"/>
      <c r="D195" s="479"/>
      <c r="E195" s="480"/>
      <c r="F195" s="480"/>
      <c r="G195" s="480"/>
      <c r="H195" s="480"/>
      <c r="I195" s="480"/>
      <c r="J195" s="480"/>
      <c r="K195" s="480"/>
      <c r="L195" s="480"/>
      <c r="M195" s="480"/>
      <c r="N195" s="480"/>
      <c r="O195" s="480"/>
      <c r="P195" s="480"/>
      <c r="Q195" s="480"/>
      <c r="R195" s="480"/>
      <c r="S195" s="480"/>
      <c r="T195" s="480"/>
      <c r="U195" s="481"/>
      <c r="V195" s="482"/>
      <c r="W195" s="493"/>
      <c r="X195" s="484" t="s">
        <v>326</v>
      </c>
      <c r="Y195" s="343" t="s">
        <v>439</v>
      </c>
      <c r="Z195" s="485">
        <f>500000*1</f>
        <v>500000</v>
      </c>
    </row>
    <row r="196" spans="1:26" ht="28.5" customHeight="1" x14ac:dyDescent="0.3">
      <c r="A196" s="400"/>
      <c r="B196" s="322"/>
      <c r="C196" s="492" t="s">
        <v>454</v>
      </c>
      <c r="D196" s="464"/>
      <c r="E196" s="465"/>
      <c r="F196" s="465"/>
      <c r="G196" s="465"/>
      <c r="H196" s="465"/>
      <c r="I196" s="465"/>
      <c r="J196" s="465"/>
      <c r="K196" s="465"/>
      <c r="L196" s="465"/>
      <c r="M196" s="465"/>
      <c r="N196" s="465"/>
      <c r="O196" s="465"/>
      <c r="P196" s="465"/>
      <c r="Q196" s="465"/>
      <c r="R196" s="465"/>
      <c r="S196" s="465">
        <v>25000000</v>
      </c>
      <c r="T196" s="465">
        <f>SUM(Z196:Z207)</f>
        <v>28463000</v>
      </c>
      <c r="U196" s="458">
        <f t="shared" ref="U196" si="15">T196-S196</f>
        <v>3463000</v>
      </c>
      <c r="V196" s="459">
        <v>4</v>
      </c>
      <c r="W196" s="468" t="s">
        <v>511</v>
      </c>
      <c r="X196" s="473" t="s">
        <v>511</v>
      </c>
      <c r="Y196" s="470" t="s">
        <v>512</v>
      </c>
      <c r="Z196" s="471">
        <f>36*9*2*30000</f>
        <v>19440000</v>
      </c>
    </row>
    <row r="197" spans="1:26" ht="28.5" customHeight="1" x14ac:dyDescent="0.3">
      <c r="A197" s="400"/>
      <c r="B197" s="322"/>
      <c r="C197" s="492"/>
      <c r="D197" s="464"/>
      <c r="E197" s="465"/>
      <c r="F197" s="465"/>
      <c r="G197" s="465"/>
      <c r="H197" s="465"/>
      <c r="I197" s="465"/>
      <c r="J197" s="465"/>
      <c r="K197" s="465"/>
      <c r="L197" s="465"/>
      <c r="M197" s="465"/>
      <c r="N197" s="465"/>
      <c r="O197" s="465"/>
      <c r="P197" s="465"/>
      <c r="Q197" s="465"/>
      <c r="R197" s="465"/>
      <c r="S197" s="465"/>
      <c r="T197" s="465"/>
      <c r="U197" s="466"/>
      <c r="V197" s="467"/>
      <c r="W197" s="468" t="s">
        <v>513</v>
      </c>
      <c r="X197" s="473" t="s">
        <v>514</v>
      </c>
      <c r="Y197" s="470" t="s">
        <v>606</v>
      </c>
      <c r="Z197" s="471">
        <f>1*3*200000</f>
        <v>600000</v>
      </c>
    </row>
    <row r="198" spans="1:26" ht="28.5" customHeight="1" x14ac:dyDescent="0.3">
      <c r="A198" s="400"/>
      <c r="B198" s="322"/>
      <c r="C198" s="492"/>
      <c r="D198" s="464"/>
      <c r="E198" s="465"/>
      <c r="F198" s="465"/>
      <c r="G198" s="465"/>
      <c r="H198" s="465"/>
      <c r="I198" s="465"/>
      <c r="J198" s="465"/>
      <c r="K198" s="465"/>
      <c r="L198" s="465"/>
      <c r="M198" s="465"/>
      <c r="N198" s="465"/>
      <c r="O198" s="465"/>
      <c r="P198" s="465"/>
      <c r="Q198" s="465"/>
      <c r="R198" s="465"/>
      <c r="S198" s="465"/>
      <c r="T198" s="465"/>
      <c r="U198" s="466"/>
      <c r="V198" s="467"/>
      <c r="W198" s="468" t="s">
        <v>515</v>
      </c>
      <c r="X198" s="473" t="s">
        <v>516</v>
      </c>
      <c r="Y198" s="470" t="s">
        <v>607</v>
      </c>
      <c r="Z198" s="471">
        <f>10*100000</f>
        <v>1000000</v>
      </c>
    </row>
    <row r="199" spans="1:26" ht="28.5" customHeight="1" x14ac:dyDescent="0.3">
      <c r="A199" s="400"/>
      <c r="B199" s="322"/>
      <c r="C199" s="492"/>
      <c r="D199" s="464"/>
      <c r="E199" s="465"/>
      <c r="F199" s="465"/>
      <c r="G199" s="465"/>
      <c r="H199" s="465"/>
      <c r="I199" s="465"/>
      <c r="J199" s="465"/>
      <c r="K199" s="465"/>
      <c r="L199" s="465"/>
      <c r="M199" s="465"/>
      <c r="N199" s="465"/>
      <c r="O199" s="465"/>
      <c r="P199" s="465"/>
      <c r="Q199" s="465"/>
      <c r="R199" s="465"/>
      <c r="S199" s="465"/>
      <c r="T199" s="465"/>
      <c r="U199" s="466"/>
      <c r="V199" s="467"/>
      <c r="W199" s="468"/>
      <c r="X199" s="473" t="s">
        <v>517</v>
      </c>
      <c r="Y199" s="470" t="s">
        <v>620</v>
      </c>
      <c r="Z199" s="471">
        <f>1*400000</f>
        <v>400000</v>
      </c>
    </row>
    <row r="200" spans="1:26" ht="28.5" customHeight="1" x14ac:dyDescent="0.3">
      <c r="A200" s="400"/>
      <c r="B200" s="322"/>
      <c r="C200" s="492"/>
      <c r="D200" s="464"/>
      <c r="E200" s="465"/>
      <c r="F200" s="465"/>
      <c r="G200" s="465"/>
      <c r="H200" s="465"/>
      <c r="I200" s="465"/>
      <c r="J200" s="465"/>
      <c r="K200" s="465"/>
      <c r="L200" s="465"/>
      <c r="M200" s="465"/>
      <c r="N200" s="465"/>
      <c r="O200" s="465"/>
      <c r="P200" s="465"/>
      <c r="Q200" s="465"/>
      <c r="R200" s="465"/>
      <c r="S200" s="465"/>
      <c r="T200" s="465"/>
      <c r="U200" s="466"/>
      <c r="V200" s="467"/>
      <c r="W200" s="468"/>
      <c r="X200" s="473" t="s">
        <v>518</v>
      </c>
      <c r="Y200" s="470" t="s">
        <v>519</v>
      </c>
      <c r="Z200" s="471">
        <f>1*100000</f>
        <v>100000</v>
      </c>
    </row>
    <row r="201" spans="1:26" ht="28.5" customHeight="1" x14ac:dyDescent="0.3">
      <c r="A201" s="400"/>
      <c r="B201" s="322"/>
      <c r="C201" s="492"/>
      <c r="D201" s="464"/>
      <c r="E201" s="465"/>
      <c r="F201" s="465"/>
      <c r="G201" s="465"/>
      <c r="H201" s="465"/>
      <c r="I201" s="465"/>
      <c r="J201" s="465"/>
      <c r="K201" s="465"/>
      <c r="L201" s="465"/>
      <c r="M201" s="465"/>
      <c r="N201" s="465"/>
      <c r="O201" s="465"/>
      <c r="P201" s="465"/>
      <c r="Q201" s="465"/>
      <c r="R201" s="465"/>
      <c r="S201" s="465"/>
      <c r="T201" s="465"/>
      <c r="U201" s="466"/>
      <c r="V201" s="467"/>
      <c r="W201" s="468"/>
      <c r="X201" s="473" t="s">
        <v>520</v>
      </c>
      <c r="Y201" s="470" t="s">
        <v>608</v>
      </c>
      <c r="Z201" s="471">
        <f>10*50000</f>
        <v>500000</v>
      </c>
    </row>
    <row r="202" spans="1:26" ht="28.5" customHeight="1" x14ac:dyDescent="0.3">
      <c r="A202" s="400"/>
      <c r="B202" s="322"/>
      <c r="C202" s="492"/>
      <c r="D202" s="464"/>
      <c r="E202" s="465"/>
      <c r="F202" s="465"/>
      <c r="G202" s="465"/>
      <c r="H202" s="465"/>
      <c r="I202" s="465"/>
      <c r="J202" s="465"/>
      <c r="K202" s="465"/>
      <c r="L202" s="465"/>
      <c r="M202" s="465"/>
      <c r="N202" s="465"/>
      <c r="O202" s="465"/>
      <c r="P202" s="465"/>
      <c r="Q202" s="465"/>
      <c r="R202" s="465"/>
      <c r="S202" s="465"/>
      <c r="T202" s="465"/>
      <c r="U202" s="466"/>
      <c r="V202" s="467"/>
      <c r="W202" s="468" t="s">
        <v>521</v>
      </c>
      <c r="X202" s="473" t="s">
        <v>522</v>
      </c>
      <c r="Y202" s="470" t="s">
        <v>609</v>
      </c>
      <c r="Z202" s="471">
        <f>3000000*1</f>
        <v>3000000</v>
      </c>
    </row>
    <row r="203" spans="1:26" ht="28.5" customHeight="1" x14ac:dyDescent="0.3">
      <c r="A203" s="400"/>
      <c r="B203" s="322"/>
      <c r="C203" s="492"/>
      <c r="D203" s="464"/>
      <c r="E203" s="465"/>
      <c r="F203" s="465"/>
      <c r="G203" s="465"/>
      <c r="H203" s="465"/>
      <c r="I203" s="465"/>
      <c r="J203" s="465"/>
      <c r="K203" s="465"/>
      <c r="L203" s="465"/>
      <c r="M203" s="465"/>
      <c r="N203" s="465"/>
      <c r="O203" s="465"/>
      <c r="P203" s="465"/>
      <c r="Q203" s="465"/>
      <c r="R203" s="465"/>
      <c r="S203" s="465"/>
      <c r="T203" s="465"/>
      <c r="U203" s="466"/>
      <c r="V203" s="467"/>
      <c r="W203" s="468" t="s">
        <v>523</v>
      </c>
      <c r="X203" s="473"/>
      <c r="Y203" s="470" t="s">
        <v>610</v>
      </c>
      <c r="Z203" s="471">
        <f>2*200000</f>
        <v>400000</v>
      </c>
    </row>
    <row r="204" spans="1:26" ht="28.5" customHeight="1" x14ac:dyDescent="0.3">
      <c r="A204" s="400"/>
      <c r="B204" s="322"/>
      <c r="C204" s="492"/>
      <c r="D204" s="464"/>
      <c r="E204" s="465"/>
      <c r="F204" s="465"/>
      <c r="G204" s="465"/>
      <c r="H204" s="465"/>
      <c r="I204" s="465"/>
      <c r="J204" s="465"/>
      <c r="K204" s="465"/>
      <c r="L204" s="465"/>
      <c r="M204" s="465"/>
      <c r="N204" s="465"/>
      <c r="O204" s="465"/>
      <c r="P204" s="465"/>
      <c r="Q204" s="465"/>
      <c r="R204" s="465"/>
      <c r="S204" s="465"/>
      <c r="T204" s="465"/>
      <c r="U204" s="466"/>
      <c r="V204" s="467"/>
      <c r="W204" s="468" t="s">
        <v>524</v>
      </c>
      <c r="X204" s="473"/>
      <c r="Y204" s="470" t="s">
        <v>611</v>
      </c>
      <c r="Z204" s="471">
        <f>2*250000</f>
        <v>500000</v>
      </c>
    </row>
    <row r="205" spans="1:26" ht="28.5" customHeight="1" x14ac:dyDescent="0.3">
      <c r="A205" s="400"/>
      <c r="B205" s="322"/>
      <c r="C205" s="492"/>
      <c r="D205" s="464"/>
      <c r="E205" s="465"/>
      <c r="F205" s="465"/>
      <c r="G205" s="465"/>
      <c r="H205" s="465"/>
      <c r="I205" s="465"/>
      <c r="J205" s="465"/>
      <c r="K205" s="465"/>
      <c r="L205" s="465"/>
      <c r="M205" s="465"/>
      <c r="N205" s="465"/>
      <c r="O205" s="465"/>
      <c r="P205" s="465"/>
      <c r="Q205" s="465"/>
      <c r="R205" s="465"/>
      <c r="S205" s="465"/>
      <c r="T205" s="465"/>
      <c r="U205" s="466"/>
      <c r="V205" s="467"/>
      <c r="W205" s="468" t="s">
        <v>525</v>
      </c>
      <c r="X205" s="473"/>
      <c r="Y205" s="470" t="s">
        <v>612</v>
      </c>
      <c r="Z205" s="471">
        <f>1*300000</f>
        <v>300000</v>
      </c>
    </row>
    <row r="206" spans="1:26" ht="28.5" customHeight="1" x14ac:dyDescent="0.3">
      <c r="A206" s="400"/>
      <c r="B206" s="322"/>
      <c r="C206" s="492"/>
      <c r="D206" s="464"/>
      <c r="E206" s="465"/>
      <c r="F206" s="465"/>
      <c r="G206" s="465"/>
      <c r="H206" s="465"/>
      <c r="I206" s="465"/>
      <c r="J206" s="465"/>
      <c r="K206" s="465"/>
      <c r="L206" s="465"/>
      <c r="M206" s="465"/>
      <c r="N206" s="465"/>
      <c r="O206" s="465"/>
      <c r="P206" s="465"/>
      <c r="Q206" s="465"/>
      <c r="R206" s="465"/>
      <c r="S206" s="465"/>
      <c r="T206" s="465"/>
      <c r="U206" s="466"/>
      <c r="V206" s="467"/>
      <c r="W206" s="468" t="s">
        <v>613</v>
      </c>
      <c r="X206" s="473"/>
      <c r="Y206" s="470" t="s">
        <v>619</v>
      </c>
      <c r="Z206" s="471">
        <f>1*663000</f>
        <v>663000</v>
      </c>
    </row>
    <row r="207" spans="1:26" ht="28.5" customHeight="1" x14ac:dyDescent="0.3">
      <c r="A207" s="400"/>
      <c r="B207" s="322"/>
      <c r="C207" s="492"/>
      <c r="D207" s="464"/>
      <c r="E207" s="465"/>
      <c r="F207" s="465"/>
      <c r="G207" s="465"/>
      <c r="H207" s="465"/>
      <c r="I207" s="465"/>
      <c r="J207" s="465"/>
      <c r="K207" s="465"/>
      <c r="L207" s="465"/>
      <c r="M207" s="465"/>
      <c r="N207" s="465"/>
      <c r="O207" s="465"/>
      <c r="P207" s="465"/>
      <c r="Q207" s="465"/>
      <c r="R207" s="465"/>
      <c r="S207" s="465"/>
      <c r="T207" s="465"/>
      <c r="U207" s="466"/>
      <c r="V207" s="467"/>
      <c r="W207" s="493" t="s">
        <v>526</v>
      </c>
      <c r="X207" s="484" t="s">
        <v>527</v>
      </c>
      <c r="Y207" s="343" t="s">
        <v>618</v>
      </c>
      <c r="Z207" s="485">
        <f>12*130000</f>
        <v>1560000</v>
      </c>
    </row>
    <row r="208" spans="1:26" ht="30" customHeight="1" x14ac:dyDescent="0.3">
      <c r="A208" s="400"/>
      <c r="B208" s="322"/>
      <c r="C208" s="582" t="s">
        <v>474</v>
      </c>
      <c r="D208" s="487"/>
      <c r="E208" s="457"/>
      <c r="F208" s="457"/>
      <c r="G208" s="457"/>
      <c r="H208" s="457"/>
      <c r="I208" s="457"/>
      <c r="J208" s="457"/>
      <c r="K208" s="457"/>
      <c r="L208" s="457"/>
      <c r="M208" s="457"/>
      <c r="N208" s="457"/>
      <c r="O208" s="457"/>
      <c r="P208" s="457"/>
      <c r="Q208" s="457"/>
      <c r="R208" s="457"/>
      <c r="S208" s="457">
        <v>0</v>
      </c>
      <c r="T208" s="457">
        <f>SUM(Z208:Z225)</f>
        <v>22632000</v>
      </c>
      <c r="U208" s="458">
        <f t="shared" ref="U208" si="16">T208-S208</f>
        <v>22632000</v>
      </c>
      <c r="V208" s="459">
        <v>3</v>
      </c>
      <c r="W208" s="468"/>
      <c r="X208" s="222" t="s">
        <v>543</v>
      </c>
      <c r="Y208" s="326" t="s">
        <v>544</v>
      </c>
      <c r="Z208" s="471">
        <f>60000*6</f>
        <v>360000</v>
      </c>
    </row>
    <row r="209" spans="1:26" ht="30" customHeight="1" x14ac:dyDescent="0.3">
      <c r="A209" s="400"/>
      <c r="B209" s="322"/>
      <c r="C209" s="583"/>
      <c r="D209" s="464"/>
      <c r="E209" s="465"/>
      <c r="F209" s="465"/>
      <c r="G209" s="465"/>
      <c r="H209" s="465"/>
      <c r="I209" s="465"/>
      <c r="J209" s="465"/>
      <c r="K209" s="465"/>
      <c r="L209" s="465"/>
      <c r="M209" s="465"/>
      <c r="N209" s="465"/>
      <c r="O209" s="465"/>
      <c r="P209" s="465"/>
      <c r="Q209" s="465"/>
      <c r="R209" s="465"/>
      <c r="S209" s="465"/>
      <c r="T209" s="465"/>
      <c r="U209" s="466"/>
      <c r="V209" s="467"/>
      <c r="W209" s="468"/>
      <c r="X209" s="222" t="s">
        <v>545</v>
      </c>
      <c r="Y209" s="326" t="s">
        <v>546</v>
      </c>
      <c r="Z209" s="471">
        <f>60000*1</f>
        <v>60000</v>
      </c>
    </row>
    <row r="210" spans="1:26" ht="30" customHeight="1" x14ac:dyDescent="0.3">
      <c r="A210" s="400"/>
      <c r="B210" s="322"/>
      <c r="C210" s="583"/>
      <c r="D210" s="464"/>
      <c r="E210" s="465"/>
      <c r="F210" s="465"/>
      <c r="G210" s="465"/>
      <c r="H210" s="465"/>
      <c r="I210" s="465"/>
      <c r="J210" s="465"/>
      <c r="K210" s="465"/>
      <c r="L210" s="465"/>
      <c r="M210" s="465"/>
      <c r="N210" s="465"/>
      <c r="O210" s="465"/>
      <c r="P210" s="465"/>
      <c r="Q210" s="465"/>
      <c r="R210" s="465"/>
      <c r="S210" s="465"/>
      <c r="T210" s="465"/>
      <c r="U210" s="466"/>
      <c r="V210" s="467"/>
      <c r="W210" s="468"/>
      <c r="X210" s="222"/>
      <c r="Y210" s="326" t="s">
        <v>547</v>
      </c>
      <c r="Z210" s="471">
        <f>2500*1*90</f>
        <v>225000</v>
      </c>
    </row>
    <row r="211" spans="1:26" ht="30" customHeight="1" x14ac:dyDescent="0.3">
      <c r="A211" s="400"/>
      <c r="B211" s="322"/>
      <c r="C211" s="583"/>
      <c r="D211" s="464"/>
      <c r="E211" s="465"/>
      <c r="F211" s="465"/>
      <c r="G211" s="465"/>
      <c r="H211" s="465"/>
      <c r="I211" s="465"/>
      <c r="J211" s="465"/>
      <c r="K211" s="465"/>
      <c r="L211" s="465"/>
      <c r="M211" s="465"/>
      <c r="N211" s="465"/>
      <c r="O211" s="465"/>
      <c r="P211" s="465"/>
      <c r="Q211" s="465"/>
      <c r="R211" s="465"/>
      <c r="S211" s="465"/>
      <c r="T211" s="465"/>
      <c r="U211" s="466"/>
      <c r="V211" s="467"/>
      <c r="W211" s="468"/>
      <c r="X211" s="222" t="s">
        <v>548</v>
      </c>
      <c r="Y211" s="326" t="s">
        <v>549</v>
      </c>
      <c r="Z211" s="471">
        <f>80000*2*25</f>
        <v>4000000</v>
      </c>
    </row>
    <row r="212" spans="1:26" ht="30" customHeight="1" x14ac:dyDescent="0.3">
      <c r="A212" s="400"/>
      <c r="B212" s="322"/>
      <c r="C212" s="583"/>
      <c r="D212" s="464"/>
      <c r="E212" s="465"/>
      <c r="F212" s="465"/>
      <c r="G212" s="465"/>
      <c r="H212" s="465"/>
      <c r="I212" s="465"/>
      <c r="J212" s="465"/>
      <c r="K212" s="465"/>
      <c r="L212" s="465"/>
      <c r="M212" s="465"/>
      <c r="N212" s="465"/>
      <c r="O212" s="465"/>
      <c r="P212" s="465"/>
      <c r="Q212" s="465"/>
      <c r="R212" s="465"/>
      <c r="S212" s="465"/>
      <c r="T212" s="465"/>
      <c r="U212" s="466"/>
      <c r="V212" s="467"/>
      <c r="W212" s="468"/>
      <c r="X212" s="222"/>
      <c r="Y212" s="326" t="s">
        <v>550</v>
      </c>
      <c r="Z212" s="471">
        <f>2500*25*90</f>
        <v>5625000</v>
      </c>
    </row>
    <row r="213" spans="1:26" ht="30" customHeight="1" x14ac:dyDescent="0.3">
      <c r="A213" s="400"/>
      <c r="B213" s="322"/>
      <c r="C213" s="583"/>
      <c r="D213" s="464"/>
      <c r="E213" s="465"/>
      <c r="F213" s="465"/>
      <c r="G213" s="465"/>
      <c r="H213" s="465"/>
      <c r="I213" s="465"/>
      <c r="J213" s="465"/>
      <c r="K213" s="465"/>
      <c r="L213" s="465"/>
      <c r="M213" s="465"/>
      <c r="N213" s="465"/>
      <c r="O213" s="465"/>
      <c r="P213" s="465"/>
      <c r="Q213" s="465"/>
      <c r="R213" s="465"/>
      <c r="S213" s="465"/>
      <c r="T213" s="465"/>
      <c r="U213" s="466"/>
      <c r="V213" s="467"/>
      <c r="W213" s="468"/>
      <c r="X213" s="222"/>
      <c r="Y213" s="326" t="s">
        <v>551</v>
      </c>
      <c r="Z213" s="471">
        <f>10000*1*90</f>
        <v>900000</v>
      </c>
    </row>
    <row r="214" spans="1:26" ht="30" customHeight="1" x14ac:dyDescent="0.3">
      <c r="A214" s="400"/>
      <c r="B214" s="322"/>
      <c r="C214" s="492"/>
      <c r="D214" s="464"/>
      <c r="E214" s="465"/>
      <c r="F214" s="465"/>
      <c r="G214" s="465"/>
      <c r="H214" s="465"/>
      <c r="I214" s="465"/>
      <c r="J214" s="465"/>
      <c r="K214" s="465"/>
      <c r="L214" s="465"/>
      <c r="M214" s="465"/>
      <c r="N214" s="465"/>
      <c r="O214" s="465"/>
      <c r="P214" s="465"/>
      <c r="Q214" s="465"/>
      <c r="R214" s="465"/>
      <c r="S214" s="465"/>
      <c r="T214" s="465"/>
      <c r="U214" s="466"/>
      <c r="V214" s="467"/>
      <c r="W214" s="468"/>
      <c r="X214" s="222"/>
      <c r="Y214" s="326" t="s">
        <v>552</v>
      </c>
      <c r="Z214" s="471">
        <f>5000*1*90</f>
        <v>450000</v>
      </c>
    </row>
    <row r="215" spans="1:26" ht="30" customHeight="1" x14ac:dyDescent="0.3">
      <c r="A215" s="400"/>
      <c r="B215" s="322"/>
      <c r="C215" s="492"/>
      <c r="D215" s="464"/>
      <c r="E215" s="465"/>
      <c r="F215" s="465"/>
      <c r="G215" s="465"/>
      <c r="H215" s="465"/>
      <c r="I215" s="465"/>
      <c r="J215" s="465"/>
      <c r="K215" s="465"/>
      <c r="L215" s="465"/>
      <c r="M215" s="465"/>
      <c r="N215" s="465"/>
      <c r="O215" s="465"/>
      <c r="P215" s="465"/>
      <c r="Q215" s="465"/>
      <c r="R215" s="465"/>
      <c r="S215" s="465"/>
      <c r="T215" s="465"/>
      <c r="U215" s="466"/>
      <c r="V215" s="467"/>
      <c r="W215" s="468"/>
      <c r="X215" s="222" t="s">
        <v>553</v>
      </c>
      <c r="Y215" s="326" t="s">
        <v>554</v>
      </c>
      <c r="Z215" s="471">
        <f>400000*3*2</f>
        <v>2400000</v>
      </c>
    </row>
    <row r="216" spans="1:26" ht="30" customHeight="1" x14ac:dyDescent="0.3">
      <c r="A216" s="400"/>
      <c r="B216" s="322"/>
      <c r="C216" s="492"/>
      <c r="D216" s="464"/>
      <c r="E216" s="465"/>
      <c r="F216" s="465"/>
      <c r="G216" s="465"/>
      <c r="H216" s="465"/>
      <c r="I216" s="465"/>
      <c r="J216" s="465"/>
      <c r="K216" s="465"/>
      <c r="L216" s="465"/>
      <c r="M216" s="465"/>
      <c r="N216" s="465"/>
      <c r="O216" s="465"/>
      <c r="P216" s="465"/>
      <c r="Q216" s="465"/>
      <c r="R216" s="465"/>
      <c r="S216" s="465"/>
      <c r="T216" s="465"/>
      <c r="U216" s="466"/>
      <c r="V216" s="467"/>
      <c r="W216" s="468"/>
      <c r="X216" s="222"/>
      <c r="Y216" s="326" t="s">
        <v>555</v>
      </c>
      <c r="Z216" s="471">
        <f>15000*3*30*2</f>
        <v>2700000</v>
      </c>
    </row>
    <row r="217" spans="1:26" ht="30" customHeight="1" x14ac:dyDescent="0.3">
      <c r="A217" s="400"/>
      <c r="B217" s="322"/>
      <c r="C217" s="492"/>
      <c r="D217" s="464"/>
      <c r="E217" s="465"/>
      <c r="F217" s="465"/>
      <c r="G217" s="465"/>
      <c r="H217" s="465"/>
      <c r="I217" s="465"/>
      <c r="J217" s="465"/>
      <c r="K217" s="465"/>
      <c r="L217" s="465"/>
      <c r="M217" s="465"/>
      <c r="N217" s="465"/>
      <c r="O217" s="465"/>
      <c r="P217" s="465"/>
      <c r="Q217" s="465"/>
      <c r="R217" s="465"/>
      <c r="S217" s="465"/>
      <c r="T217" s="465"/>
      <c r="U217" s="466"/>
      <c r="V217" s="467"/>
      <c r="W217" s="468"/>
      <c r="X217" s="222"/>
      <c r="Y217" s="326" t="s">
        <v>556</v>
      </c>
      <c r="Z217" s="471">
        <f>10000*3*30*2</f>
        <v>1800000</v>
      </c>
    </row>
    <row r="218" spans="1:26" ht="30" customHeight="1" x14ac:dyDescent="0.3">
      <c r="A218" s="400"/>
      <c r="B218" s="322"/>
      <c r="C218" s="492"/>
      <c r="D218" s="464"/>
      <c r="E218" s="465"/>
      <c r="F218" s="465"/>
      <c r="G218" s="465"/>
      <c r="H218" s="465"/>
      <c r="I218" s="465"/>
      <c r="J218" s="465"/>
      <c r="K218" s="465"/>
      <c r="L218" s="465"/>
      <c r="M218" s="465"/>
      <c r="N218" s="465"/>
      <c r="O218" s="465"/>
      <c r="P218" s="465"/>
      <c r="Q218" s="465"/>
      <c r="R218" s="465"/>
      <c r="S218" s="465"/>
      <c r="T218" s="465"/>
      <c r="U218" s="466"/>
      <c r="V218" s="467"/>
      <c r="W218" s="468"/>
      <c r="X218" s="222" t="s">
        <v>557</v>
      </c>
      <c r="Y218" s="326" t="s">
        <v>546</v>
      </c>
      <c r="Z218" s="471">
        <f>60000*1</f>
        <v>60000</v>
      </c>
    </row>
    <row r="219" spans="1:26" ht="30" customHeight="1" x14ac:dyDescent="0.3">
      <c r="A219" s="400"/>
      <c r="B219" s="322"/>
      <c r="C219" s="583"/>
      <c r="D219" s="464"/>
      <c r="E219" s="465"/>
      <c r="F219" s="465"/>
      <c r="G219" s="465"/>
      <c r="H219" s="465"/>
      <c r="I219" s="465"/>
      <c r="J219" s="465"/>
      <c r="K219" s="465"/>
      <c r="L219" s="465"/>
      <c r="M219" s="465"/>
      <c r="N219" s="465"/>
      <c r="O219" s="465"/>
      <c r="P219" s="465"/>
      <c r="Q219" s="465"/>
      <c r="R219" s="465"/>
      <c r="S219" s="465"/>
      <c r="T219" s="465"/>
      <c r="U219" s="466"/>
      <c r="V219" s="467"/>
      <c r="W219" s="468"/>
      <c r="X219" s="222"/>
      <c r="Y219" s="326" t="s">
        <v>547</v>
      </c>
      <c r="Z219" s="471">
        <f>2500*1*90</f>
        <v>225000</v>
      </c>
    </row>
    <row r="220" spans="1:26" ht="30" customHeight="1" x14ac:dyDescent="0.3">
      <c r="A220" s="400"/>
      <c r="B220" s="322"/>
      <c r="C220" s="583"/>
      <c r="D220" s="464"/>
      <c r="E220" s="465"/>
      <c r="F220" s="465"/>
      <c r="G220" s="465"/>
      <c r="H220" s="465"/>
      <c r="I220" s="465"/>
      <c r="J220" s="465"/>
      <c r="K220" s="465"/>
      <c r="L220" s="465"/>
      <c r="M220" s="465"/>
      <c r="N220" s="465"/>
      <c r="O220" s="465"/>
      <c r="P220" s="465"/>
      <c r="Q220" s="465"/>
      <c r="R220" s="465"/>
      <c r="S220" s="465"/>
      <c r="T220" s="465"/>
      <c r="U220" s="466"/>
      <c r="V220" s="467"/>
      <c r="W220" s="468"/>
      <c r="X220" s="222"/>
      <c r="Y220" s="326" t="s">
        <v>558</v>
      </c>
      <c r="Z220" s="471">
        <f>10000*1*90</f>
        <v>900000</v>
      </c>
    </row>
    <row r="221" spans="1:26" ht="30" customHeight="1" x14ac:dyDescent="0.3">
      <c r="A221" s="400"/>
      <c r="B221" s="322"/>
      <c r="C221" s="583"/>
      <c r="D221" s="464"/>
      <c r="E221" s="465"/>
      <c r="F221" s="465"/>
      <c r="G221" s="465"/>
      <c r="H221" s="465"/>
      <c r="I221" s="465"/>
      <c r="J221" s="465"/>
      <c r="K221" s="465"/>
      <c r="L221" s="465"/>
      <c r="M221" s="465"/>
      <c r="N221" s="465"/>
      <c r="O221" s="465"/>
      <c r="P221" s="465"/>
      <c r="Q221" s="465"/>
      <c r="R221" s="465"/>
      <c r="S221" s="465"/>
      <c r="T221" s="465"/>
      <c r="U221" s="466"/>
      <c r="V221" s="467"/>
      <c r="W221" s="468"/>
      <c r="X221" s="222" t="s">
        <v>559</v>
      </c>
      <c r="Y221" s="326" t="s">
        <v>560</v>
      </c>
      <c r="Z221" s="471">
        <f>100000*5</f>
        <v>500000</v>
      </c>
    </row>
    <row r="222" spans="1:26" ht="30" customHeight="1" x14ac:dyDescent="0.3">
      <c r="A222" s="400"/>
      <c r="B222" s="322"/>
      <c r="C222" s="583"/>
      <c r="D222" s="464"/>
      <c r="E222" s="465"/>
      <c r="F222" s="465"/>
      <c r="G222" s="465"/>
      <c r="H222" s="465"/>
      <c r="I222" s="465"/>
      <c r="J222" s="465"/>
      <c r="K222" s="465"/>
      <c r="L222" s="465"/>
      <c r="M222" s="465"/>
      <c r="N222" s="465"/>
      <c r="O222" s="465"/>
      <c r="P222" s="465"/>
      <c r="Q222" s="465"/>
      <c r="R222" s="465"/>
      <c r="S222" s="465"/>
      <c r="T222" s="465"/>
      <c r="U222" s="466"/>
      <c r="V222" s="467"/>
      <c r="W222" s="468"/>
      <c r="X222" s="222" t="s">
        <v>561</v>
      </c>
      <c r="Y222" s="326" t="s">
        <v>562</v>
      </c>
      <c r="Z222" s="471">
        <f>15000*90</f>
        <v>1350000</v>
      </c>
    </row>
    <row r="223" spans="1:26" ht="30" customHeight="1" x14ac:dyDescent="0.3">
      <c r="A223" s="400"/>
      <c r="B223" s="322"/>
      <c r="C223" s="583"/>
      <c r="D223" s="464"/>
      <c r="E223" s="465"/>
      <c r="F223" s="465"/>
      <c r="G223" s="465"/>
      <c r="H223" s="465"/>
      <c r="I223" s="465"/>
      <c r="J223" s="465"/>
      <c r="K223" s="465"/>
      <c r="L223" s="465"/>
      <c r="M223" s="465"/>
      <c r="N223" s="465"/>
      <c r="O223" s="465"/>
      <c r="P223" s="465"/>
      <c r="Q223" s="465"/>
      <c r="R223" s="465"/>
      <c r="S223" s="465"/>
      <c r="T223" s="465"/>
      <c r="U223" s="466"/>
      <c r="V223" s="467"/>
      <c r="W223" s="468"/>
      <c r="X223" s="222"/>
      <c r="Y223" s="326" t="s">
        <v>563</v>
      </c>
      <c r="Z223" s="471">
        <f>50000*8</f>
        <v>400000</v>
      </c>
    </row>
    <row r="224" spans="1:26" ht="30" customHeight="1" x14ac:dyDescent="0.3">
      <c r="A224" s="400"/>
      <c r="B224" s="322"/>
      <c r="C224" s="583"/>
      <c r="D224" s="464"/>
      <c r="E224" s="465"/>
      <c r="F224" s="465"/>
      <c r="G224" s="465"/>
      <c r="H224" s="465"/>
      <c r="I224" s="465"/>
      <c r="J224" s="465"/>
      <c r="K224" s="465"/>
      <c r="L224" s="465"/>
      <c r="M224" s="465"/>
      <c r="N224" s="465"/>
      <c r="O224" s="465"/>
      <c r="P224" s="465"/>
      <c r="Q224" s="465"/>
      <c r="R224" s="465"/>
      <c r="S224" s="465"/>
      <c r="T224" s="465"/>
      <c r="U224" s="466"/>
      <c r="V224" s="467"/>
      <c r="W224" s="468"/>
      <c r="X224" s="222"/>
      <c r="Y224" s="326" t="s">
        <v>564</v>
      </c>
      <c r="Z224" s="471">
        <f>5000*90</f>
        <v>450000</v>
      </c>
    </row>
    <row r="225" spans="1:26" ht="30" customHeight="1" x14ac:dyDescent="0.3">
      <c r="A225" s="400"/>
      <c r="B225" s="322"/>
      <c r="C225" s="584"/>
      <c r="D225" s="479"/>
      <c r="E225" s="480"/>
      <c r="F225" s="480"/>
      <c r="G225" s="480"/>
      <c r="H225" s="480"/>
      <c r="I225" s="480"/>
      <c r="J225" s="480"/>
      <c r="K225" s="480"/>
      <c r="L225" s="480"/>
      <c r="M225" s="480"/>
      <c r="N225" s="480"/>
      <c r="O225" s="480"/>
      <c r="P225" s="480"/>
      <c r="Q225" s="480"/>
      <c r="R225" s="480"/>
      <c r="S225" s="480"/>
      <c r="T225" s="480"/>
      <c r="U225" s="481"/>
      <c r="V225" s="585"/>
      <c r="W225" s="493"/>
      <c r="X225" s="494"/>
      <c r="Y225" s="343" t="s">
        <v>565</v>
      </c>
      <c r="Z225" s="485">
        <f>227000*1</f>
        <v>227000</v>
      </c>
    </row>
    <row r="226" spans="1:26" ht="31.5" customHeight="1" x14ac:dyDescent="0.3">
      <c r="A226" s="400"/>
      <c r="B226" s="322"/>
      <c r="C226" s="582" t="s">
        <v>475</v>
      </c>
      <c r="D226" s="487"/>
      <c r="E226" s="457"/>
      <c r="F226" s="457"/>
      <c r="G226" s="457"/>
      <c r="H226" s="457"/>
      <c r="I226" s="457"/>
      <c r="J226" s="457"/>
      <c r="K226" s="457"/>
      <c r="L226" s="457"/>
      <c r="M226" s="457"/>
      <c r="N226" s="457"/>
      <c r="O226" s="457"/>
      <c r="P226" s="457"/>
      <c r="Q226" s="457"/>
      <c r="R226" s="457"/>
      <c r="S226" s="457">
        <v>37532000</v>
      </c>
      <c r="T226" s="457">
        <f>ROUNDUP(SUM(Z226:Z236),-3)</f>
        <v>41167000</v>
      </c>
      <c r="U226" s="458">
        <f t="shared" ref="U226" si="17">T226-S226</f>
        <v>3635000</v>
      </c>
      <c r="V226" s="459">
        <v>5</v>
      </c>
      <c r="W226" s="468" t="s">
        <v>529</v>
      </c>
      <c r="X226" s="222" t="s">
        <v>567</v>
      </c>
      <c r="Y226" s="326" t="s">
        <v>578</v>
      </c>
      <c r="Z226" s="471">
        <f>1914440*1*12</f>
        <v>22973280</v>
      </c>
    </row>
    <row r="227" spans="1:26" ht="31.5" customHeight="1" x14ac:dyDescent="0.3">
      <c r="A227" s="400"/>
      <c r="B227" s="322"/>
      <c r="C227" s="492"/>
      <c r="D227" s="464"/>
      <c r="E227" s="465"/>
      <c r="F227" s="465"/>
      <c r="G227" s="465"/>
      <c r="H227" s="465"/>
      <c r="I227" s="465"/>
      <c r="J227" s="465"/>
      <c r="K227" s="465"/>
      <c r="L227" s="465"/>
      <c r="M227" s="465"/>
      <c r="N227" s="465"/>
      <c r="O227" s="465"/>
      <c r="P227" s="465"/>
      <c r="Q227" s="465"/>
      <c r="R227" s="465"/>
      <c r="S227" s="465"/>
      <c r="T227" s="465"/>
      <c r="U227" s="466"/>
      <c r="V227" s="467"/>
      <c r="W227" s="468"/>
      <c r="X227" s="222" t="s">
        <v>568</v>
      </c>
      <c r="Y227" s="326" t="s">
        <v>579</v>
      </c>
      <c r="Z227" s="471">
        <f>210210*1*12</f>
        <v>2522520</v>
      </c>
    </row>
    <row r="228" spans="1:26" ht="31.5" customHeight="1" x14ac:dyDescent="0.3">
      <c r="A228" s="400"/>
      <c r="B228" s="322"/>
      <c r="C228" s="492"/>
      <c r="D228" s="464"/>
      <c r="E228" s="465"/>
      <c r="F228" s="465"/>
      <c r="G228" s="465"/>
      <c r="H228" s="465"/>
      <c r="I228" s="465"/>
      <c r="J228" s="465"/>
      <c r="K228" s="465"/>
      <c r="L228" s="465"/>
      <c r="M228" s="465"/>
      <c r="N228" s="465"/>
      <c r="O228" s="465"/>
      <c r="P228" s="465"/>
      <c r="Q228" s="465"/>
      <c r="R228" s="465"/>
      <c r="S228" s="465"/>
      <c r="T228" s="465"/>
      <c r="U228" s="466"/>
      <c r="V228" s="467"/>
      <c r="W228" s="468"/>
      <c r="X228" s="494" t="s">
        <v>569</v>
      </c>
      <c r="Y228" s="343" t="s">
        <v>580</v>
      </c>
      <c r="Z228" s="485">
        <f>159540*1*12</f>
        <v>1914480</v>
      </c>
    </row>
    <row r="229" spans="1:26" ht="31.5" customHeight="1" x14ac:dyDescent="0.3">
      <c r="A229" s="400"/>
      <c r="B229" s="322"/>
      <c r="C229" s="492"/>
      <c r="D229" s="464"/>
      <c r="E229" s="465"/>
      <c r="F229" s="465"/>
      <c r="G229" s="465"/>
      <c r="H229" s="465"/>
      <c r="I229" s="465"/>
      <c r="J229" s="465"/>
      <c r="K229" s="465"/>
      <c r="L229" s="465"/>
      <c r="M229" s="465"/>
      <c r="N229" s="465"/>
      <c r="O229" s="465"/>
      <c r="P229" s="465"/>
      <c r="Q229" s="465"/>
      <c r="R229" s="465"/>
      <c r="S229" s="465"/>
      <c r="T229" s="465"/>
      <c r="U229" s="466"/>
      <c r="V229" s="467"/>
      <c r="W229" s="468" t="s">
        <v>570</v>
      </c>
      <c r="X229" s="222" t="s">
        <v>571</v>
      </c>
      <c r="Y229" s="326" t="s">
        <v>581</v>
      </c>
      <c r="Z229" s="471">
        <f>150*12*2200</f>
        <v>3960000</v>
      </c>
    </row>
    <row r="230" spans="1:26" ht="31.5" customHeight="1" x14ac:dyDescent="0.3">
      <c r="A230" s="400"/>
      <c r="B230" s="322"/>
      <c r="C230" s="492"/>
      <c r="D230" s="464"/>
      <c r="E230" s="465"/>
      <c r="F230" s="465"/>
      <c r="G230" s="465"/>
      <c r="H230" s="465"/>
      <c r="I230" s="465"/>
      <c r="J230" s="465"/>
      <c r="K230" s="465"/>
      <c r="L230" s="465"/>
      <c r="M230" s="465"/>
      <c r="N230" s="465"/>
      <c r="O230" s="465"/>
      <c r="P230" s="465"/>
      <c r="Q230" s="465"/>
      <c r="R230" s="465"/>
      <c r="S230" s="465"/>
      <c r="T230" s="465"/>
      <c r="U230" s="466"/>
      <c r="V230" s="467"/>
      <c r="W230" s="468"/>
      <c r="X230" s="494" t="s">
        <v>572</v>
      </c>
      <c r="Y230" s="343" t="s">
        <v>582</v>
      </c>
      <c r="Z230" s="485">
        <f>3040000*1</f>
        <v>3040000</v>
      </c>
    </row>
    <row r="231" spans="1:26" ht="31.5" customHeight="1" x14ac:dyDescent="0.3">
      <c r="A231" s="400"/>
      <c r="B231" s="322"/>
      <c r="C231" s="492"/>
      <c r="D231" s="464"/>
      <c r="E231" s="465"/>
      <c r="F231" s="465"/>
      <c r="G231" s="465"/>
      <c r="H231" s="465"/>
      <c r="I231" s="465"/>
      <c r="J231" s="465"/>
      <c r="K231" s="465"/>
      <c r="L231" s="465"/>
      <c r="M231" s="465"/>
      <c r="N231" s="465"/>
      <c r="O231" s="465"/>
      <c r="P231" s="465"/>
      <c r="Q231" s="465"/>
      <c r="R231" s="465"/>
      <c r="S231" s="465"/>
      <c r="T231" s="465"/>
      <c r="U231" s="466"/>
      <c r="V231" s="467"/>
      <c r="W231" s="468" t="s">
        <v>573</v>
      </c>
      <c r="X231" s="222" t="s">
        <v>574</v>
      </c>
      <c r="Y231" s="326" t="s">
        <v>586</v>
      </c>
      <c r="Z231" s="471">
        <f>700000*1</f>
        <v>700000</v>
      </c>
    </row>
    <row r="232" spans="1:26" ht="31.5" customHeight="1" x14ac:dyDescent="0.3">
      <c r="A232" s="400"/>
      <c r="B232" s="322"/>
      <c r="C232" s="583"/>
      <c r="D232" s="464"/>
      <c r="E232" s="465"/>
      <c r="F232" s="465"/>
      <c r="G232" s="465"/>
      <c r="H232" s="465"/>
      <c r="I232" s="465"/>
      <c r="J232" s="465"/>
      <c r="K232" s="465"/>
      <c r="L232" s="465"/>
      <c r="M232" s="465"/>
      <c r="N232" s="465"/>
      <c r="O232" s="465"/>
      <c r="P232" s="465"/>
      <c r="Q232" s="465"/>
      <c r="R232" s="465"/>
      <c r="S232" s="465"/>
      <c r="T232" s="465"/>
      <c r="U232" s="466"/>
      <c r="V232" s="467"/>
      <c r="W232" s="468"/>
      <c r="X232" s="222" t="s">
        <v>575</v>
      </c>
      <c r="Y232" s="326" t="s">
        <v>587</v>
      </c>
      <c r="Z232" s="471">
        <f>500000*1</f>
        <v>500000</v>
      </c>
    </row>
    <row r="233" spans="1:26" ht="31.5" customHeight="1" x14ac:dyDescent="0.3">
      <c r="A233" s="400"/>
      <c r="B233" s="322"/>
      <c r="C233" s="583"/>
      <c r="D233" s="464"/>
      <c r="E233" s="465"/>
      <c r="F233" s="465"/>
      <c r="G233" s="465"/>
      <c r="H233" s="465"/>
      <c r="I233" s="465"/>
      <c r="J233" s="465"/>
      <c r="K233" s="465"/>
      <c r="L233" s="465"/>
      <c r="M233" s="465"/>
      <c r="N233" s="465"/>
      <c r="O233" s="465"/>
      <c r="P233" s="465"/>
      <c r="Q233" s="465"/>
      <c r="R233" s="465"/>
      <c r="S233" s="465"/>
      <c r="T233" s="465"/>
      <c r="U233" s="466"/>
      <c r="V233" s="467"/>
      <c r="W233" s="468"/>
      <c r="X233" s="222" t="s">
        <v>576</v>
      </c>
      <c r="Y233" s="326" t="s">
        <v>588</v>
      </c>
      <c r="Z233" s="471">
        <f>400000*4</f>
        <v>1600000</v>
      </c>
    </row>
    <row r="234" spans="1:26" ht="31.5" customHeight="1" x14ac:dyDescent="0.3">
      <c r="A234" s="400"/>
      <c r="B234" s="322"/>
      <c r="C234" s="583"/>
      <c r="D234" s="464"/>
      <c r="E234" s="465"/>
      <c r="F234" s="465"/>
      <c r="G234" s="465"/>
      <c r="H234" s="465"/>
      <c r="I234" s="465"/>
      <c r="J234" s="465"/>
      <c r="K234" s="465"/>
      <c r="L234" s="465"/>
      <c r="M234" s="465"/>
      <c r="N234" s="465"/>
      <c r="O234" s="465"/>
      <c r="P234" s="465"/>
      <c r="Q234" s="465"/>
      <c r="R234" s="465"/>
      <c r="S234" s="465"/>
      <c r="T234" s="465"/>
      <c r="U234" s="466"/>
      <c r="V234" s="467"/>
      <c r="W234" s="468"/>
      <c r="X234" s="222" t="s">
        <v>590</v>
      </c>
      <c r="Y234" s="326" t="s">
        <v>591</v>
      </c>
      <c r="Z234" s="471">
        <f>1000000*1</f>
        <v>1000000</v>
      </c>
    </row>
    <row r="235" spans="1:26" ht="31.5" customHeight="1" x14ac:dyDescent="0.3">
      <c r="A235" s="400"/>
      <c r="B235" s="322"/>
      <c r="C235" s="583"/>
      <c r="D235" s="464"/>
      <c r="E235" s="465"/>
      <c r="F235" s="465"/>
      <c r="G235" s="465"/>
      <c r="H235" s="465"/>
      <c r="I235" s="465"/>
      <c r="J235" s="465"/>
      <c r="K235" s="465"/>
      <c r="L235" s="465"/>
      <c r="M235" s="465"/>
      <c r="N235" s="465"/>
      <c r="O235" s="465"/>
      <c r="P235" s="465"/>
      <c r="Q235" s="465"/>
      <c r="R235" s="465"/>
      <c r="S235" s="465"/>
      <c r="T235" s="465"/>
      <c r="U235" s="466"/>
      <c r="V235" s="467"/>
      <c r="W235" s="468"/>
      <c r="X235" s="494" t="s">
        <v>566</v>
      </c>
      <c r="Y235" s="343" t="s">
        <v>589</v>
      </c>
      <c r="Z235" s="485">
        <f>556000*1</f>
        <v>556000</v>
      </c>
    </row>
    <row r="236" spans="1:26" ht="31.5" customHeight="1" x14ac:dyDescent="0.3">
      <c r="A236" s="400"/>
      <c r="B236" s="322"/>
      <c r="C236" s="584"/>
      <c r="D236" s="479"/>
      <c r="E236" s="480"/>
      <c r="F236" s="480"/>
      <c r="G236" s="480"/>
      <c r="H236" s="480"/>
      <c r="I236" s="480"/>
      <c r="J236" s="480"/>
      <c r="K236" s="480"/>
      <c r="L236" s="480"/>
      <c r="M236" s="480"/>
      <c r="N236" s="480"/>
      <c r="O236" s="480"/>
      <c r="P236" s="480"/>
      <c r="Q236" s="480"/>
      <c r="R236" s="480"/>
      <c r="S236" s="480"/>
      <c r="T236" s="480"/>
      <c r="U236" s="481"/>
      <c r="V236" s="585"/>
      <c r="W236" s="493" t="s">
        <v>577</v>
      </c>
      <c r="X236" s="494"/>
      <c r="Y236" s="343" t="s">
        <v>583</v>
      </c>
      <c r="Z236" s="485">
        <f>200000*12</f>
        <v>2400000</v>
      </c>
    </row>
    <row r="237" spans="1:26" ht="23.25" customHeight="1" x14ac:dyDescent="0.3">
      <c r="A237" s="400"/>
      <c r="B237" s="322"/>
      <c r="C237" s="488" t="s">
        <v>59</v>
      </c>
      <c r="D237" s="487">
        <v>2850000</v>
      </c>
      <c r="E237" s="457">
        <v>2100000</v>
      </c>
      <c r="F237" s="457">
        <v>2100000</v>
      </c>
      <c r="G237" s="457">
        <v>2850000</v>
      </c>
      <c r="H237" s="457">
        <v>2100000</v>
      </c>
      <c r="I237" s="457">
        <v>3580000</v>
      </c>
      <c r="J237" s="457">
        <v>2580000</v>
      </c>
      <c r="K237" s="457">
        <v>2580000</v>
      </c>
      <c r="L237" s="457">
        <v>3080000</v>
      </c>
      <c r="M237" s="457">
        <v>2670000</v>
      </c>
      <c r="N237" s="457">
        <v>3170000</v>
      </c>
      <c r="O237" s="457">
        <v>3170000</v>
      </c>
      <c r="P237" s="457">
        <v>3170000</v>
      </c>
      <c r="Q237" s="457">
        <v>3170000</v>
      </c>
      <c r="R237" s="457">
        <v>3170000</v>
      </c>
      <c r="S237" s="457">
        <v>3170000</v>
      </c>
      <c r="T237" s="457">
        <f>SUM(Z237:Z241)</f>
        <v>3170000</v>
      </c>
      <c r="U237" s="458">
        <f>T237-S237</f>
        <v>0</v>
      </c>
      <c r="V237" s="459">
        <f>U237/S237</f>
        <v>0</v>
      </c>
      <c r="W237" s="460" t="s">
        <v>281</v>
      </c>
      <c r="X237" s="461" t="s">
        <v>282</v>
      </c>
      <c r="Y237" s="462" t="s">
        <v>283</v>
      </c>
      <c r="Z237" s="463">
        <f>50000*2</f>
        <v>100000</v>
      </c>
    </row>
    <row r="238" spans="1:26" ht="23.25" customHeight="1" x14ac:dyDescent="0.3">
      <c r="A238" s="400"/>
      <c r="B238" s="322"/>
      <c r="C238" s="490"/>
      <c r="D238" s="464"/>
      <c r="E238" s="465"/>
      <c r="F238" s="465"/>
      <c r="G238" s="465"/>
      <c r="H238" s="465"/>
      <c r="I238" s="465"/>
      <c r="J238" s="465"/>
      <c r="K238" s="465"/>
      <c r="L238" s="465"/>
      <c r="M238" s="465"/>
      <c r="N238" s="465"/>
      <c r="O238" s="465"/>
      <c r="P238" s="465"/>
      <c r="Q238" s="465"/>
      <c r="R238" s="465"/>
      <c r="S238" s="465"/>
      <c r="T238" s="465"/>
      <c r="U238" s="466"/>
      <c r="V238" s="467"/>
      <c r="W238" s="468"/>
      <c r="X238" s="469" t="s">
        <v>284</v>
      </c>
      <c r="Y238" s="470" t="s">
        <v>285</v>
      </c>
      <c r="Z238" s="471">
        <f>500000*1</f>
        <v>500000</v>
      </c>
    </row>
    <row r="239" spans="1:26" ht="23.25" customHeight="1" x14ac:dyDescent="0.3">
      <c r="A239" s="400"/>
      <c r="B239" s="322"/>
      <c r="C239" s="490"/>
      <c r="D239" s="464"/>
      <c r="E239" s="465"/>
      <c r="F239" s="465"/>
      <c r="G239" s="465"/>
      <c r="H239" s="465"/>
      <c r="I239" s="465"/>
      <c r="J239" s="465"/>
      <c r="K239" s="465"/>
      <c r="L239" s="465"/>
      <c r="M239" s="465"/>
      <c r="N239" s="465"/>
      <c r="O239" s="465"/>
      <c r="P239" s="465"/>
      <c r="Q239" s="465"/>
      <c r="R239" s="465"/>
      <c r="S239" s="465"/>
      <c r="T239" s="465"/>
      <c r="U239" s="466"/>
      <c r="V239" s="467"/>
      <c r="W239" s="468"/>
      <c r="X239" s="469" t="s">
        <v>286</v>
      </c>
      <c r="Y239" s="470" t="s">
        <v>287</v>
      </c>
      <c r="Z239" s="471">
        <v>2000000</v>
      </c>
    </row>
    <row r="240" spans="1:26" ht="23.25" customHeight="1" x14ac:dyDescent="0.3">
      <c r="A240" s="400"/>
      <c r="B240" s="322"/>
      <c r="C240" s="492"/>
      <c r="D240" s="464"/>
      <c r="E240" s="465"/>
      <c r="F240" s="465"/>
      <c r="G240" s="465"/>
      <c r="H240" s="465"/>
      <c r="I240" s="465"/>
      <c r="J240" s="465"/>
      <c r="K240" s="465"/>
      <c r="L240" s="465"/>
      <c r="M240" s="465"/>
      <c r="N240" s="465"/>
      <c r="O240" s="465"/>
      <c r="P240" s="465"/>
      <c r="Q240" s="465"/>
      <c r="R240" s="465"/>
      <c r="S240" s="465"/>
      <c r="T240" s="465"/>
      <c r="U240" s="466"/>
      <c r="V240" s="467"/>
      <c r="W240" s="468"/>
      <c r="X240" s="469"/>
      <c r="Y240" s="470" t="s">
        <v>288</v>
      </c>
      <c r="Z240" s="471">
        <f>100000*3</f>
        <v>300000</v>
      </c>
    </row>
    <row r="241" spans="1:26" ht="23.25" customHeight="1" x14ac:dyDescent="0.3">
      <c r="A241" s="400"/>
      <c r="B241" s="322"/>
      <c r="C241" s="584"/>
      <c r="D241" s="479"/>
      <c r="E241" s="480"/>
      <c r="F241" s="480"/>
      <c r="G241" s="480"/>
      <c r="H241" s="480"/>
      <c r="I241" s="480"/>
      <c r="J241" s="480"/>
      <c r="K241" s="480"/>
      <c r="L241" s="480"/>
      <c r="M241" s="480"/>
      <c r="N241" s="480"/>
      <c r="O241" s="480"/>
      <c r="P241" s="480"/>
      <c r="Q241" s="480"/>
      <c r="R241" s="480"/>
      <c r="S241" s="480"/>
      <c r="T241" s="480"/>
      <c r="U241" s="481"/>
      <c r="V241" s="482"/>
      <c r="W241" s="493"/>
      <c r="X241" s="494"/>
      <c r="Y241" s="343" t="s">
        <v>289</v>
      </c>
      <c r="Z241" s="485">
        <f>30000*9</f>
        <v>270000</v>
      </c>
    </row>
    <row r="242" spans="1:26" ht="23.25" customHeight="1" x14ac:dyDescent="0.3">
      <c r="A242" s="400"/>
      <c r="B242" s="322"/>
      <c r="C242" s="488" t="s">
        <v>61</v>
      </c>
      <c r="D242" s="487">
        <v>13470000</v>
      </c>
      <c r="E242" s="457">
        <v>13500000</v>
      </c>
      <c r="F242" s="457">
        <v>14500000</v>
      </c>
      <c r="G242" s="457">
        <v>13470000</v>
      </c>
      <c r="H242" s="457">
        <v>19000000</v>
      </c>
      <c r="I242" s="457">
        <v>19435000</v>
      </c>
      <c r="J242" s="457">
        <v>12000000</v>
      </c>
      <c r="K242" s="457">
        <v>28300000</v>
      </c>
      <c r="L242" s="457">
        <v>25300000</v>
      </c>
      <c r="M242" s="457">
        <v>22700000</v>
      </c>
      <c r="N242" s="457">
        <v>23000000</v>
      </c>
      <c r="O242" s="457">
        <v>28600000</v>
      </c>
      <c r="P242" s="457">
        <v>28950000</v>
      </c>
      <c r="Q242" s="457">
        <v>24000000</v>
      </c>
      <c r="R242" s="457">
        <v>24000000</v>
      </c>
      <c r="S242" s="457">
        <v>22000000</v>
      </c>
      <c r="T242" s="457">
        <f>SUM(Z242:Z245)</f>
        <v>28000000</v>
      </c>
      <c r="U242" s="458">
        <f>T242-S242</f>
        <v>6000000</v>
      </c>
      <c r="V242" s="586">
        <f>U242/S242</f>
        <v>0.27272727272727271</v>
      </c>
      <c r="W242" s="468" t="s">
        <v>290</v>
      </c>
      <c r="X242" s="469" t="s">
        <v>258</v>
      </c>
      <c r="Y242" s="470" t="s">
        <v>268</v>
      </c>
      <c r="Z242" s="471">
        <f>1000000*1</f>
        <v>1000000</v>
      </c>
    </row>
    <row r="243" spans="1:26" ht="30" customHeight="1" x14ac:dyDescent="0.3">
      <c r="A243" s="400"/>
      <c r="B243" s="322"/>
      <c r="C243" s="490"/>
      <c r="D243" s="464"/>
      <c r="E243" s="465"/>
      <c r="F243" s="465"/>
      <c r="G243" s="465"/>
      <c r="H243" s="465"/>
      <c r="I243" s="465"/>
      <c r="J243" s="465"/>
      <c r="K243" s="465"/>
      <c r="L243" s="465"/>
      <c r="M243" s="465"/>
      <c r="N243" s="465"/>
      <c r="O243" s="465"/>
      <c r="P243" s="465"/>
      <c r="Q243" s="465"/>
      <c r="R243" s="465"/>
      <c r="S243" s="465"/>
      <c r="T243" s="465"/>
      <c r="U243" s="466"/>
      <c r="V243" s="565"/>
      <c r="W243" s="493">
        <f>SUM(Z242:Z243)</f>
        <v>21000000</v>
      </c>
      <c r="X243" s="494" t="s">
        <v>291</v>
      </c>
      <c r="Y243" s="587" t="s">
        <v>292</v>
      </c>
      <c r="Z243" s="485">
        <f>20000000*1</f>
        <v>20000000</v>
      </c>
    </row>
    <row r="244" spans="1:26" ht="30" customHeight="1" x14ac:dyDescent="0.3">
      <c r="A244" s="400"/>
      <c r="B244" s="322"/>
      <c r="C244" s="490"/>
      <c r="D244" s="464"/>
      <c r="E244" s="465"/>
      <c r="F244" s="465"/>
      <c r="G244" s="465"/>
      <c r="H244" s="465"/>
      <c r="I244" s="465"/>
      <c r="J244" s="465"/>
      <c r="K244" s="465"/>
      <c r="L244" s="465"/>
      <c r="M244" s="465"/>
      <c r="N244" s="465"/>
      <c r="O244" s="465"/>
      <c r="P244" s="465"/>
      <c r="Q244" s="465"/>
      <c r="R244" s="465"/>
      <c r="S244" s="465"/>
      <c r="T244" s="465"/>
      <c r="U244" s="466"/>
      <c r="V244" s="565"/>
      <c r="W244" s="493" t="s">
        <v>430</v>
      </c>
      <c r="X244" s="494"/>
      <c r="Y244" s="587" t="s">
        <v>592</v>
      </c>
      <c r="Z244" s="485">
        <f>1000000*4</f>
        <v>4000000</v>
      </c>
    </row>
    <row r="245" spans="1:26" ht="30" customHeight="1" x14ac:dyDescent="0.3">
      <c r="A245" s="400"/>
      <c r="B245" s="322"/>
      <c r="C245" s="581"/>
      <c r="D245" s="479"/>
      <c r="E245" s="480"/>
      <c r="F245" s="480"/>
      <c r="G245" s="480"/>
      <c r="H245" s="480"/>
      <c r="I245" s="480"/>
      <c r="J245" s="480"/>
      <c r="K245" s="480"/>
      <c r="L245" s="480"/>
      <c r="M245" s="480"/>
      <c r="N245" s="480"/>
      <c r="O245" s="480"/>
      <c r="P245" s="480"/>
      <c r="Q245" s="480"/>
      <c r="R245" s="480"/>
      <c r="S245" s="480"/>
      <c r="T245" s="480"/>
      <c r="U245" s="481"/>
      <c r="V245" s="585"/>
      <c r="W245" s="451" t="s">
        <v>293</v>
      </c>
      <c r="X245" s="452"/>
      <c r="Y245" s="588" t="s">
        <v>451</v>
      </c>
      <c r="Z245" s="454">
        <f>300000*10</f>
        <v>3000000</v>
      </c>
    </row>
    <row r="246" spans="1:26" ht="30" customHeight="1" x14ac:dyDescent="0.3">
      <c r="A246" s="400"/>
      <c r="B246" s="322"/>
      <c r="C246" s="490" t="s">
        <v>304</v>
      </c>
      <c r="D246" s="464">
        <v>2920000</v>
      </c>
      <c r="E246" s="465">
        <v>4920000</v>
      </c>
      <c r="F246" s="465">
        <v>4920000</v>
      </c>
      <c r="G246" s="465">
        <v>2920000</v>
      </c>
      <c r="H246" s="465">
        <v>4920000</v>
      </c>
      <c r="I246" s="465">
        <v>5264000</v>
      </c>
      <c r="J246" s="465">
        <v>4840000</v>
      </c>
      <c r="K246" s="465">
        <v>5300000</v>
      </c>
      <c r="L246" s="465">
        <v>5300000</v>
      </c>
      <c r="M246" s="465">
        <v>5540000</v>
      </c>
      <c r="N246" s="465">
        <v>6040000</v>
      </c>
      <c r="O246" s="465">
        <v>4490000</v>
      </c>
      <c r="P246" s="465">
        <v>5240000</v>
      </c>
      <c r="Q246" s="465">
        <v>6540000</v>
      </c>
      <c r="R246" s="465">
        <v>6540000</v>
      </c>
      <c r="S246" s="465">
        <v>7040000</v>
      </c>
      <c r="T246" s="465">
        <f>SUM(Z246:Z250)</f>
        <v>6540000</v>
      </c>
      <c r="U246" s="466">
        <f>T246-S246</f>
        <v>-500000</v>
      </c>
      <c r="V246" s="467">
        <f>U246/S246</f>
        <v>-7.1022727272727279E-2</v>
      </c>
      <c r="W246" s="468" t="s">
        <v>305</v>
      </c>
      <c r="X246" s="469" t="s">
        <v>306</v>
      </c>
      <c r="Y246" s="470" t="s">
        <v>307</v>
      </c>
      <c r="Z246" s="471">
        <f>1100000*4</f>
        <v>4400000</v>
      </c>
    </row>
    <row r="247" spans="1:26" ht="30" customHeight="1" x14ac:dyDescent="0.3">
      <c r="A247" s="400"/>
      <c r="B247" s="322"/>
      <c r="C247" s="490"/>
      <c r="D247" s="464"/>
      <c r="E247" s="465"/>
      <c r="F247" s="465"/>
      <c r="G247" s="465"/>
      <c r="H247" s="465"/>
      <c r="I247" s="465"/>
      <c r="J247" s="465"/>
      <c r="K247" s="465"/>
      <c r="L247" s="465"/>
      <c r="M247" s="465"/>
      <c r="N247" s="465"/>
      <c r="O247" s="465"/>
      <c r="P247" s="465"/>
      <c r="Q247" s="465"/>
      <c r="R247" s="465"/>
      <c r="S247" s="465"/>
      <c r="T247" s="465"/>
      <c r="U247" s="466"/>
      <c r="V247" s="467"/>
      <c r="W247" s="468"/>
      <c r="X247" s="469" t="s">
        <v>308</v>
      </c>
      <c r="Y247" s="470" t="s">
        <v>309</v>
      </c>
      <c r="Z247" s="471">
        <f>100000*1</f>
        <v>100000</v>
      </c>
    </row>
    <row r="248" spans="1:26" ht="30" customHeight="1" x14ac:dyDescent="0.3">
      <c r="A248" s="400"/>
      <c r="B248" s="322"/>
      <c r="C248" s="536"/>
      <c r="D248" s="464"/>
      <c r="E248" s="465"/>
      <c r="F248" s="465"/>
      <c r="G248" s="465"/>
      <c r="H248" s="465"/>
      <c r="I248" s="465"/>
      <c r="J248" s="465"/>
      <c r="K248" s="465"/>
      <c r="L248" s="465"/>
      <c r="M248" s="465"/>
      <c r="N248" s="465"/>
      <c r="O248" s="465"/>
      <c r="P248" s="465"/>
      <c r="Q248" s="465"/>
      <c r="R248" s="465"/>
      <c r="S248" s="465"/>
      <c r="T248" s="465"/>
      <c r="U248" s="466"/>
      <c r="V248" s="467"/>
      <c r="W248" s="468"/>
      <c r="X248" s="469" t="s">
        <v>310</v>
      </c>
      <c r="Y248" s="470" t="s">
        <v>311</v>
      </c>
      <c r="Z248" s="471">
        <f>600000*1</f>
        <v>600000</v>
      </c>
    </row>
    <row r="249" spans="1:26" ht="30" customHeight="1" x14ac:dyDescent="0.3">
      <c r="A249" s="400"/>
      <c r="B249" s="322"/>
      <c r="C249" s="536"/>
      <c r="D249" s="464"/>
      <c r="E249" s="465"/>
      <c r="F249" s="465"/>
      <c r="G249" s="465"/>
      <c r="H249" s="465"/>
      <c r="I249" s="465"/>
      <c r="J249" s="465"/>
      <c r="K249" s="465"/>
      <c r="L249" s="465"/>
      <c r="M249" s="465"/>
      <c r="N249" s="465"/>
      <c r="O249" s="465"/>
      <c r="P249" s="465"/>
      <c r="Q249" s="465"/>
      <c r="R249" s="465"/>
      <c r="S249" s="465"/>
      <c r="T249" s="465"/>
      <c r="U249" s="466"/>
      <c r="V249" s="467"/>
      <c r="W249" s="468"/>
      <c r="X249" s="222" t="s">
        <v>312</v>
      </c>
      <c r="Y249" s="326" t="s">
        <v>313</v>
      </c>
      <c r="Z249" s="471">
        <f>50000*20</f>
        <v>1000000</v>
      </c>
    </row>
    <row r="250" spans="1:26" ht="30" customHeight="1" x14ac:dyDescent="0.3">
      <c r="A250" s="400"/>
      <c r="B250" s="322"/>
      <c r="C250" s="540"/>
      <c r="D250" s="479"/>
      <c r="E250" s="480"/>
      <c r="F250" s="480"/>
      <c r="G250" s="480"/>
      <c r="H250" s="480"/>
      <c r="I250" s="480"/>
      <c r="J250" s="480"/>
      <c r="K250" s="480"/>
      <c r="L250" s="480"/>
      <c r="M250" s="480"/>
      <c r="N250" s="480"/>
      <c r="O250" s="480"/>
      <c r="P250" s="480"/>
      <c r="Q250" s="480"/>
      <c r="R250" s="480"/>
      <c r="S250" s="480"/>
      <c r="T250" s="480"/>
      <c r="U250" s="481"/>
      <c r="V250" s="482"/>
      <c r="W250" s="493"/>
      <c r="X250" s="494" t="s">
        <v>314</v>
      </c>
      <c r="Y250" s="343" t="s">
        <v>315</v>
      </c>
      <c r="Z250" s="485">
        <f>440000*1</f>
        <v>440000</v>
      </c>
    </row>
    <row r="251" spans="1:26" ht="23.25" customHeight="1" x14ac:dyDescent="0.3">
      <c r="A251" s="400"/>
      <c r="B251" s="322"/>
      <c r="C251" s="488" t="s">
        <v>294</v>
      </c>
      <c r="D251" s="487">
        <v>2060000</v>
      </c>
      <c r="E251" s="457">
        <v>2060000</v>
      </c>
      <c r="F251" s="457">
        <v>2660000</v>
      </c>
      <c r="G251" s="457">
        <v>2060000</v>
      </c>
      <c r="H251" s="457">
        <v>3160000</v>
      </c>
      <c r="I251" s="457">
        <v>6820000</v>
      </c>
      <c r="J251" s="457">
        <v>4220000</v>
      </c>
      <c r="K251" s="457">
        <v>6600000</v>
      </c>
      <c r="L251" s="457">
        <v>9100000</v>
      </c>
      <c r="M251" s="457">
        <v>9300000</v>
      </c>
      <c r="N251" s="457">
        <v>9500000</v>
      </c>
      <c r="O251" s="457">
        <v>6900000</v>
      </c>
      <c r="P251" s="457">
        <v>6900000</v>
      </c>
      <c r="Q251" s="457">
        <v>7900000</v>
      </c>
      <c r="R251" s="457">
        <v>5900000</v>
      </c>
      <c r="S251" s="457">
        <v>6600000</v>
      </c>
      <c r="T251" s="457">
        <f>SUM(Z251:Z257)</f>
        <v>8400000</v>
      </c>
      <c r="U251" s="458">
        <f>T251-S251</f>
        <v>1800000</v>
      </c>
      <c r="V251" s="459">
        <f>U251/S251</f>
        <v>0.27272727272727271</v>
      </c>
      <c r="W251" s="460" t="s">
        <v>295</v>
      </c>
      <c r="X251" s="461" t="s">
        <v>296</v>
      </c>
      <c r="Y251" s="462" t="s">
        <v>297</v>
      </c>
      <c r="Z251" s="463">
        <f>50000*12</f>
        <v>600000</v>
      </c>
    </row>
    <row r="252" spans="1:26" ht="23.25" customHeight="1" x14ac:dyDescent="0.3">
      <c r="A252" s="400"/>
      <c r="B252" s="322"/>
      <c r="C252" s="490"/>
      <c r="D252" s="464"/>
      <c r="E252" s="465"/>
      <c r="F252" s="465"/>
      <c r="G252" s="465"/>
      <c r="H252" s="465"/>
      <c r="I252" s="465"/>
      <c r="J252" s="465"/>
      <c r="K252" s="465"/>
      <c r="L252" s="465"/>
      <c r="M252" s="465"/>
      <c r="N252" s="465"/>
      <c r="O252" s="465"/>
      <c r="P252" s="465"/>
      <c r="Q252" s="465"/>
      <c r="R252" s="465"/>
      <c r="S252" s="465"/>
      <c r="T252" s="465"/>
      <c r="U252" s="466"/>
      <c r="V252" s="467"/>
      <c r="W252" s="468"/>
      <c r="X252" s="222"/>
      <c r="Y252" s="326" t="s">
        <v>395</v>
      </c>
      <c r="Z252" s="471">
        <f>2000000*1</f>
        <v>2000000</v>
      </c>
    </row>
    <row r="253" spans="1:26" ht="23.25" customHeight="1" x14ac:dyDescent="0.3">
      <c r="A253" s="400"/>
      <c r="B253" s="322"/>
      <c r="C253" s="490"/>
      <c r="D253" s="464"/>
      <c r="E253" s="465"/>
      <c r="F253" s="465"/>
      <c r="G253" s="465"/>
      <c r="H253" s="465"/>
      <c r="I253" s="465"/>
      <c r="J253" s="465"/>
      <c r="K253" s="465"/>
      <c r="L253" s="465"/>
      <c r="M253" s="465"/>
      <c r="N253" s="465"/>
      <c r="O253" s="465"/>
      <c r="P253" s="465"/>
      <c r="Q253" s="465"/>
      <c r="R253" s="465"/>
      <c r="S253" s="465"/>
      <c r="T253" s="465"/>
      <c r="U253" s="466"/>
      <c r="V253" s="467"/>
      <c r="W253" s="468"/>
      <c r="X253" s="469"/>
      <c r="Y253" s="470" t="s">
        <v>298</v>
      </c>
      <c r="Z253" s="471">
        <f>200000*6</f>
        <v>1200000</v>
      </c>
    </row>
    <row r="254" spans="1:26" ht="23.25" customHeight="1" x14ac:dyDescent="0.3">
      <c r="A254" s="400"/>
      <c r="B254" s="322"/>
      <c r="C254" s="536"/>
      <c r="D254" s="464"/>
      <c r="E254" s="465"/>
      <c r="F254" s="465"/>
      <c r="G254" s="465"/>
      <c r="H254" s="465"/>
      <c r="I254" s="465"/>
      <c r="J254" s="465"/>
      <c r="K254" s="465"/>
      <c r="L254" s="465"/>
      <c r="M254" s="465"/>
      <c r="N254" s="465"/>
      <c r="O254" s="465"/>
      <c r="P254" s="465"/>
      <c r="Q254" s="465"/>
      <c r="R254" s="465"/>
      <c r="S254" s="465"/>
      <c r="T254" s="465"/>
      <c r="U254" s="466"/>
      <c r="V254" s="467"/>
      <c r="W254" s="468"/>
      <c r="X254" s="469" t="s">
        <v>299</v>
      </c>
      <c r="Y254" s="470" t="s">
        <v>276</v>
      </c>
      <c r="Z254" s="471">
        <f>1000000*1</f>
        <v>1000000</v>
      </c>
    </row>
    <row r="255" spans="1:26" ht="23.25" customHeight="1" x14ac:dyDescent="0.3">
      <c r="A255" s="400"/>
      <c r="B255" s="322"/>
      <c r="C255" s="536"/>
      <c r="D255" s="464"/>
      <c r="E255" s="465"/>
      <c r="F255" s="465"/>
      <c r="G255" s="465"/>
      <c r="H255" s="465"/>
      <c r="I255" s="465"/>
      <c r="J255" s="465"/>
      <c r="K255" s="465"/>
      <c r="L255" s="465"/>
      <c r="M255" s="465"/>
      <c r="N255" s="465"/>
      <c r="O255" s="465"/>
      <c r="P255" s="465"/>
      <c r="Q255" s="465"/>
      <c r="R255" s="465"/>
      <c r="S255" s="465"/>
      <c r="T255" s="465"/>
      <c r="U255" s="466"/>
      <c r="V255" s="467"/>
      <c r="W255" s="468"/>
      <c r="X255" s="469" t="s">
        <v>300</v>
      </c>
      <c r="Y255" s="470" t="s">
        <v>301</v>
      </c>
      <c r="Z255" s="471">
        <f>1500000*2</f>
        <v>3000000</v>
      </c>
    </row>
    <row r="256" spans="1:26" ht="23.25" customHeight="1" x14ac:dyDescent="0.3">
      <c r="A256" s="400"/>
      <c r="B256" s="322"/>
      <c r="C256" s="536"/>
      <c r="D256" s="464"/>
      <c r="E256" s="465"/>
      <c r="F256" s="465"/>
      <c r="G256" s="465"/>
      <c r="H256" s="465"/>
      <c r="I256" s="465"/>
      <c r="J256" s="465"/>
      <c r="K256" s="465"/>
      <c r="L256" s="465"/>
      <c r="M256" s="465"/>
      <c r="N256" s="465"/>
      <c r="O256" s="465"/>
      <c r="P256" s="465"/>
      <c r="Q256" s="465"/>
      <c r="R256" s="465"/>
      <c r="S256" s="465"/>
      <c r="T256" s="465"/>
      <c r="U256" s="466"/>
      <c r="V256" s="565"/>
      <c r="W256" s="493"/>
      <c r="X256" s="494" t="s">
        <v>302</v>
      </c>
      <c r="Y256" s="343" t="s">
        <v>303</v>
      </c>
      <c r="Z256" s="485">
        <f>100000*1</f>
        <v>100000</v>
      </c>
    </row>
    <row r="257" spans="1:26" ht="23.25" customHeight="1" x14ac:dyDescent="0.3">
      <c r="A257" s="400"/>
      <c r="B257" s="322"/>
      <c r="C257" s="540"/>
      <c r="D257" s="479"/>
      <c r="E257" s="480"/>
      <c r="F257" s="480"/>
      <c r="G257" s="480"/>
      <c r="H257" s="480"/>
      <c r="I257" s="480"/>
      <c r="J257" s="480"/>
      <c r="K257" s="480"/>
      <c r="L257" s="480"/>
      <c r="M257" s="480"/>
      <c r="N257" s="480"/>
      <c r="O257" s="480"/>
      <c r="P257" s="480"/>
      <c r="Q257" s="480"/>
      <c r="R257" s="480"/>
      <c r="S257" s="480"/>
      <c r="T257" s="480"/>
      <c r="U257" s="481"/>
      <c r="V257" s="482"/>
      <c r="W257" s="451" t="s">
        <v>509</v>
      </c>
      <c r="X257" s="452"/>
      <c r="Y257" s="453" t="s">
        <v>510</v>
      </c>
      <c r="Z257" s="454">
        <f>500000*1</f>
        <v>500000</v>
      </c>
    </row>
    <row r="258" spans="1:26" ht="42" customHeight="1" x14ac:dyDescent="0.3">
      <c r="A258" s="400"/>
      <c r="B258" s="322"/>
      <c r="C258" s="589" t="s">
        <v>403</v>
      </c>
      <c r="D258" s="487"/>
      <c r="E258" s="457"/>
      <c r="F258" s="457"/>
      <c r="G258" s="457"/>
      <c r="H258" s="457"/>
      <c r="I258" s="457"/>
      <c r="J258" s="457"/>
      <c r="K258" s="457"/>
      <c r="L258" s="457"/>
      <c r="M258" s="457"/>
      <c r="N258" s="457"/>
      <c r="O258" s="457"/>
      <c r="P258" s="457"/>
      <c r="Q258" s="457"/>
      <c r="R258" s="457"/>
      <c r="S258" s="457">
        <v>0</v>
      </c>
      <c r="T258" s="457">
        <f>Z258</f>
        <v>100000</v>
      </c>
      <c r="U258" s="458">
        <f>T258-S258</f>
        <v>100000</v>
      </c>
      <c r="V258" s="459">
        <v>0</v>
      </c>
      <c r="W258" s="451" t="s">
        <v>428</v>
      </c>
      <c r="X258" s="452"/>
      <c r="Y258" s="453" t="s">
        <v>429</v>
      </c>
      <c r="Z258" s="454">
        <f>50000*2</f>
        <v>100000</v>
      </c>
    </row>
    <row r="259" spans="1:26" ht="42" customHeight="1" x14ac:dyDescent="0.3">
      <c r="A259" s="400"/>
      <c r="B259" s="322"/>
      <c r="C259" s="589" t="s">
        <v>64</v>
      </c>
      <c r="D259" s="487">
        <v>420000</v>
      </c>
      <c r="E259" s="457">
        <v>420000</v>
      </c>
      <c r="F259" s="457">
        <v>420000</v>
      </c>
      <c r="G259" s="457">
        <v>420000</v>
      </c>
      <c r="H259" s="457">
        <v>420000</v>
      </c>
      <c r="I259" s="457">
        <v>420000</v>
      </c>
      <c r="J259" s="457">
        <v>100000</v>
      </c>
      <c r="K259" s="457">
        <v>100000</v>
      </c>
      <c r="L259" s="457">
        <v>3600000</v>
      </c>
      <c r="M259" s="457">
        <v>100000</v>
      </c>
      <c r="N259" s="457">
        <v>200000</v>
      </c>
      <c r="O259" s="457">
        <v>200000</v>
      </c>
      <c r="P259" s="457">
        <v>200000</v>
      </c>
      <c r="Q259" s="457">
        <v>100000</v>
      </c>
      <c r="R259" s="457">
        <v>100000</v>
      </c>
      <c r="S259" s="457">
        <v>100000</v>
      </c>
      <c r="T259" s="457">
        <f>SUM(Z259)</f>
        <v>100000</v>
      </c>
      <c r="U259" s="458">
        <f>T259-S259</f>
        <v>0</v>
      </c>
      <c r="V259" s="459">
        <f>U259/S259</f>
        <v>0</v>
      </c>
      <c r="W259" s="460" t="s">
        <v>316</v>
      </c>
      <c r="X259" s="461" t="s">
        <v>317</v>
      </c>
      <c r="Y259" s="462" t="s">
        <v>309</v>
      </c>
      <c r="Z259" s="463">
        <f>100000*1</f>
        <v>100000</v>
      </c>
    </row>
    <row r="260" spans="1:26" ht="31.5" customHeight="1" x14ac:dyDescent="0.3">
      <c r="A260" s="400"/>
      <c r="B260" s="322"/>
      <c r="C260" s="589" t="s">
        <v>431</v>
      </c>
      <c r="D260" s="487"/>
      <c r="E260" s="457"/>
      <c r="F260" s="457"/>
      <c r="G260" s="457"/>
      <c r="H260" s="457"/>
      <c r="I260" s="457"/>
      <c r="J260" s="457"/>
      <c r="K260" s="457"/>
      <c r="L260" s="457"/>
      <c r="M260" s="457"/>
      <c r="N260" s="457"/>
      <c r="O260" s="457"/>
      <c r="P260" s="457"/>
      <c r="Q260" s="457"/>
      <c r="R260" s="457"/>
      <c r="S260" s="457">
        <v>0</v>
      </c>
      <c r="T260" s="457">
        <f>SUM(Z260:Z260)</f>
        <v>3000000</v>
      </c>
      <c r="U260" s="458">
        <f>T260-S260</f>
        <v>3000000</v>
      </c>
      <c r="V260" s="459">
        <v>0</v>
      </c>
      <c r="W260" s="451" t="s">
        <v>426</v>
      </c>
      <c r="X260" s="452"/>
      <c r="Y260" s="453" t="s">
        <v>361</v>
      </c>
      <c r="Z260" s="454">
        <f>3000000*1</f>
        <v>3000000</v>
      </c>
    </row>
    <row r="261" spans="1:26" ht="31.5" customHeight="1" x14ac:dyDescent="0.3">
      <c r="A261" s="400"/>
      <c r="B261" s="322"/>
      <c r="C261" s="589" t="s">
        <v>472</v>
      </c>
      <c r="D261" s="487"/>
      <c r="E261" s="457"/>
      <c r="F261" s="457"/>
      <c r="G261" s="457"/>
      <c r="H261" s="457"/>
      <c r="I261" s="457"/>
      <c r="J261" s="457"/>
      <c r="K261" s="457"/>
      <c r="L261" s="457"/>
      <c r="M261" s="457"/>
      <c r="N261" s="457"/>
      <c r="O261" s="457"/>
      <c r="P261" s="457"/>
      <c r="Q261" s="457"/>
      <c r="R261" s="457"/>
      <c r="S261" s="457">
        <v>125158000</v>
      </c>
      <c r="T261" s="457">
        <f>SUM(Z261:Z263)</f>
        <v>134750000</v>
      </c>
      <c r="U261" s="458">
        <f t="shared" ref="U261:U275" si="18">T261-S261</f>
        <v>9592000</v>
      </c>
      <c r="V261" s="459">
        <v>1</v>
      </c>
      <c r="W261" s="460"/>
      <c r="X261" s="461" t="s">
        <v>529</v>
      </c>
      <c r="Y261" s="462" t="s">
        <v>502</v>
      </c>
      <c r="Z261" s="463">
        <f>1976000*12*5</f>
        <v>118560000</v>
      </c>
    </row>
    <row r="262" spans="1:26" ht="31.5" customHeight="1" x14ac:dyDescent="0.3">
      <c r="A262" s="400"/>
      <c r="B262" s="322"/>
      <c r="C262" s="583"/>
      <c r="D262" s="464"/>
      <c r="E262" s="465"/>
      <c r="F262" s="465"/>
      <c r="G262" s="465"/>
      <c r="H262" s="465"/>
      <c r="I262" s="465"/>
      <c r="J262" s="465"/>
      <c r="K262" s="465"/>
      <c r="L262" s="465"/>
      <c r="M262" s="465"/>
      <c r="N262" s="465"/>
      <c r="O262" s="465"/>
      <c r="P262" s="465"/>
      <c r="Q262" s="465"/>
      <c r="R262" s="465"/>
      <c r="S262" s="465"/>
      <c r="T262" s="465"/>
      <c r="U262" s="466"/>
      <c r="V262" s="467"/>
      <c r="W262" s="468"/>
      <c r="X262" s="222" t="s">
        <v>539</v>
      </c>
      <c r="Y262" s="326" t="s">
        <v>540</v>
      </c>
      <c r="Z262" s="471">
        <f>1976000*1*5</f>
        <v>9880000</v>
      </c>
    </row>
    <row r="263" spans="1:26" ht="31.5" customHeight="1" x14ac:dyDescent="0.3">
      <c r="A263" s="400"/>
      <c r="B263" s="322"/>
      <c r="C263" s="583"/>
      <c r="D263" s="464"/>
      <c r="E263" s="465"/>
      <c r="F263" s="465"/>
      <c r="G263" s="465"/>
      <c r="H263" s="465"/>
      <c r="I263" s="465"/>
      <c r="J263" s="465"/>
      <c r="K263" s="465"/>
      <c r="L263" s="465"/>
      <c r="M263" s="465"/>
      <c r="N263" s="465"/>
      <c r="O263" s="465"/>
      <c r="P263" s="465"/>
      <c r="Q263" s="465"/>
      <c r="R263" s="465"/>
      <c r="S263" s="480"/>
      <c r="T263" s="480"/>
      <c r="U263" s="481"/>
      <c r="V263" s="482"/>
      <c r="W263" s="493"/>
      <c r="X263" s="494" t="s">
        <v>541</v>
      </c>
      <c r="Y263" s="343" t="s">
        <v>542</v>
      </c>
      <c r="Z263" s="485">
        <f>1262000*5</f>
        <v>6310000</v>
      </c>
    </row>
    <row r="264" spans="1:26" ht="31.5" customHeight="1" x14ac:dyDescent="0.3">
      <c r="A264" s="400"/>
      <c r="B264" s="322"/>
      <c r="C264" s="582" t="s">
        <v>473</v>
      </c>
      <c r="D264" s="487"/>
      <c r="E264" s="457"/>
      <c r="F264" s="457"/>
      <c r="G264" s="457"/>
      <c r="H264" s="457"/>
      <c r="I264" s="457"/>
      <c r="J264" s="457"/>
      <c r="K264" s="457"/>
      <c r="L264" s="457"/>
      <c r="M264" s="457"/>
      <c r="N264" s="457"/>
      <c r="O264" s="457"/>
      <c r="P264" s="457"/>
      <c r="Q264" s="457"/>
      <c r="R264" s="457"/>
      <c r="S264" s="465">
        <v>28060000</v>
      </c>
      <c r="T264" s="465">
        <f>SUM(Z264:Z268)</f>
        <v>29562000</v>
      </c>
      <c r="U264" s="466">
        <f t="shared" si="18"/>
        <v>1502000</v>
      </c>
      <c r="V264" s="467">
        <v>2</v>
      </c>
      <c r="W264" s="460"/>
      <c r="X264" s="461" t="s">
        <v>597</v>
      </c>
      <c r="Y264" s="462" t="s">
        <v>598</v>
      </c>
      <c r="Z264" s="463">
        <f>1976000*12*1</f>
        <v>23712000</v>
      </c>
    </row>
    <row r="265" spans="1:26" ht="31.5" customHeight="1" x14ac:dyDescent="0.3">
      <c r="A265" s="400"/>
      <c r="B265" s="322"/>
      <c r="C265" s="492"/>
      <c r="D265" s="464"/>
      <c r="E265" s="465"/>
      <c r="F265" s="465"/>
      <c r="G265" s="465"/>
      <c r="H265" s="465"/>
      <c r="I265" s="465"/>
      <c r="J265" s="465"/>
      <c r="K265" s="465"/>
      <c r="L265" s="465"/>
      <c r="M265" s="465"/>
      <c r="N265" s="465"/>
      <c r="O265" s="465"/>
      <c r="P265" s="465"/>
      <c r="Q265" s="465"/>
      <c r="R265" s="465"/>
      <c r="S265" s="465"/>
      <c r="T265" s="465"/>
      <c r="U265" s="466"/>
      <c r="V265" s="467"/>
      <c r="W265" s="468"/>
      <c r="X265" s="222" t="s">
        <v>599</v>
      </c>
      <c r="Y265" s="326" t="s">
        <v>600</v>
      </c>
      <c r="Z265" s="471">
        <f>1976000*60%*1</f>
        <v>1185600</v>
      </c>
    </row>
    <row r="266" spans="1:26" ht="31.5" customHeight="1" x14ac:dyDescent="0.3">
      <c r="A266" s="400"/>
      <c r="B266" s="322"/>
      <c r="C266" s="492"/>
      <c r="D266" s="464"/>
      <c r="E266" s="465"/>
      <c r="F266" s="465"/>
      <c r="G266" s="465"/>
      <c r="H266" s="465"/>
      <c r="I266" s="465"/>
      <c r="J266" s="465"/>
      <c r="K266" s="465"/>
      <c r="L266" s="465"/>
      <c r="M266" s="465"/>
      <c r="N266" s="465"/>
      <c r="O266" s="465"/>
      <c r="P266" s="465"/>
      <c r="Q266" s="465"/>
      <c r="R266" s="465"/>
      <c r="S266" s="465"/>
      <c r="T266" s="465"/>
      <c r="U266" s="466"/>
      <c r="V266" s="467"/>
      <c r="W266" s="468"/>
      <c r="X266" s="222" t="s">
        <v>601</v>
      </c>
      <c r="Y266" s="326" t="s">
        <v>602</v>
      </c>
      <c r="Z266" s="471">
        <f>1976000*1*1</f>
        <v>1976000</v>
      </c>
    </row>
    <row r="267" spans="1:26" ht="31.5" customHeight="1" x14ac:dyDescent="0.3">
      <c r="A267" s="400"/>
      <c r="B267" s="322"/>
      <c r="C267" s="492"/>
      <c r="D267" s="464"/>
      <c r="E267" s="465"/>
      <c r="F267" s="465"/>
      <c r="G267" s="465"/>
      <c r="H267" s="465"/>
      <c r="I267" s="465"/>
      <c r="J267" s="465"/>
      <c r="K267" s="465"/>
      <c r="L267" s="465"/>
      <c r="M267" s="465"/>
      <c r="N267" s="465"/>
      <c r="O267" s="465"/>
      <c r="P267" s="465"/>
      <c r="Q267" s="465"/>
      <c r="R267" s="465"/>
      <c r="S267" s="465"/>
      <c r="T267" s="465"/>
      <c r="U267" s="466"/>
      <c r="V267" s="467"/>
      <c r="W267" s="468"/>
      <c r="X267" s="222"/>
      <c r="Y267" s="326" t="s">
        <v>603</v>
      </c>
      <c r="Z267" s="471">
        <f>1185600/12*1</f>
        <v>98800</v>
      </c>
    </row>
    <row r="268" spans="1:26" ht="31.5" customHeight="1" x14ac:dyDescent="0.3">
      <c r="A268" s="400"/>
      <c r="B268" s="322"/>
      <c r="C268" s="583"/>
      <c r="D268" s="464"/>
      <c r="E268" s="465"/>
      <c r="F268" s="465"/>
      <c r="G268" s="465"/>
      <c r="H268" s="465"/>
      <c r="I268" s="465"/>
      <c r="J268" s="465"/>
      <c r="K268" s="465"/>
      <c r="L268" s="465"/>
      <c r="M268" s="465"/>
      <c r="N268" s="465"/>
      <c r="O268" s="465"/>
      <c r="P268" s="465"/>
      <c r="Q268" s="465"/>
      <c r="R268" s="465"/>
      <c r="S268" s="465"/>
      <c r="T268" s="465"/>
      <c r="U268" s="466"/>
      <c r="V268" s="467"/>
      <c r="W268" s="493"/>
      <c r="X268" s="494" t="s">
        <v>604</v>
      </c>
      <c r="Y268" s="343" t="s">
        <v>605</v>
      </c>
      <c r="Z268" s="485">
        <f>215800*12</f>
        <v>2589600</v>
      </c>
    </row>
    <row r="269" spans="1:26" ht="31.5" customHeight="1" x14ac:dyDescent="0.3">
      <c r="A269" s="400"/>
      <c r="B269" s="322"/>
      <c r="C269" s="582" t="s">
        <v>484</v>
      </c>
      <c r="D269" s="487"/>
      <c r="E269" s="457"/>
      <c r="F269" s="457"/>
      <c r="G269" s="457"/>
      <c r="H269" s="457"/>
      <c r="I269" s="457"/>
      <c r="J269" s="457"/>
      <c r="K269" s="457"/>
      <c r="L269" s="457"/>
      <c r="M269" s="457"/>
      <c r="N269" s="457"/>
      <c r="O269" s="457"/>
      <c r="P269" s="457"/>
      <c r="Q269" s="457"/>
      <c r="R269" s="457"/>
      <c r="S269" s="457">
        <v>8000000</v>
      </c>
      <c r="T269" s="457">
        <f>Z269</f>
        <v>0</v>
      </c>
      <c r="U269" s="458">
        <f t="shared" si="18"/>
        <v>-8000000</v>
      </c>
      <c r="V269" s="459">
        <v>4</v>
      </c>
      <c r="W269" s="451"/>
      <c r="X269" s="452"/>
      <c r="Y269" s="453"/>
      <c r="Z269" s="454"/>
    </row>
    <row r="270" spans="1:26" ht="31.5" customHeight="1" x14ac:dyDescent="0.3">
      <c r="A270" s="400"/>
      <c r="B270" s="322"/>
      <c r="C270" s="582" t="s">
        <v>476</v>
      </c>
      <c r="D270" s="487"/>
      <c r="E270" s="457"/>
      <c r="F270" s="457"/>
      <c r="G270" s="457"/>
      <c r="H270" s="457"/>
      <c r="I270" s="457"/>
      <c r="J270" s="457"/>
      <c r="K270" s="457"/>
      <c r="L270" s="457"/>
      <c r="M270" s="457"/>
      <c r="N270" s="457"/>
      <c r="O270" s="457"/>
      <c r="P270" s="457"/>
      <c r="Q270" s="457"/>
      <c r="R270" s="457"/>
      <c r="S270" s="457">
        <v>775000</v>
      </c>
      <c r="T270" s="457">
        <f>Z270</f>
        <v>0</v>
      </c>
      <c r="U270" s="458">
        <f t="shared" si="18"/>
        <v>-775000</v>
      </c>
      <c r="V270" s="459">
        <v>6</v>
      </c>
      <c r="W270" s="451"/>
      <c r="X270" s="452"/>
      <c r="Y270" s="453"/>
      <c r="Z270" s="454"/>
    </row>
    <row r="271" spans="1:26" ht="31.5" customHeight="1" x14ac:dyDescent="0.3">
      <c r="A271" s="400"/>
      <c r="B271" s="322"/>
      <c r="C271" s="582" t="s">
        <v>495</v>
      </c>
      <c r="D271" s="487"/>
      <c r="E271" s="457"/>
      <c r="F271" s="457"/>
      <c r="G271" s="457"/>
      <c r="H271" s="457"/>
      <c r="I271" s="457"/>
      <c r="J271" s="457"/>
      <c r="K271" s="457"/>
      <c r="L271" s="457"/>
      <c r="M271" s="457"/>
      <c r="N271" s="457"/>
      <c r="O271" s="457"/>
      <c r="P271" s="457"/>
      <c r="Q271" s="457"/>
      <c r="R271" s="457"/>
      <c r="S271" s="457">
        <v>32200000</v>
      </c>
      <c r="T271" s="457">
        <f t="shared" ref="T271:T275" si="19">Z271</f>
        <v>0</v>
      </c>
      <c r="U271" s="458">
        <f t="shared" si="18"/>
        <v>-32200000</v>
      </c>
      <c r="V271" s="459">
        <v>7</v>
      </c>
      <c r="W271" s="451"/>
      <c r="X271" s="452"/>
      <c r="Y271" s="453"/>
      <c r="Z271" s="454"/>
    </row>
    <row r="272" spans="1:26" ht="31.5" customHeight="1" x14ac:dyDescent="0.3">
      <c r="A272" s="400"/>
      <c r="B272" s="322"/>
      <c r="C272" s="582" t="s">
        <v>478</v>
      </c>
      <c r="D272" s="487"/>
      <c r="E272" s="457"/>
      <c r="F272" s="457"/>
      <c r="G272" s="457"/>
      <c r="H272" s="457"/>
      <c r="I272" s="457"/>
      <c r="J272" s="457"/>
      <c r="K272" s="457"/>
      <c r="L272" s="457"/>
      <c r="M272" s="457"/>
      <c r="N272" s="457"/>
      <c r="O272" s="457"/>
      <c r="P272" s="457"/>
      <c r="Q272" s="457"/>
      <c r="R272" s="457"/>
      <c r="S272" s="457">
        <v>1600000</v>
      </c>
      <c r="T272" s="457">
        <f t="shared" si="19"/>
        <v>0</v>
      </c>
      <c r="U272" s="458">
        <f t="shared" si="18"/>
        <v>-1600000</v>
      </c>
      <c r="V272" s="459">
        <v>8</v>
      </c>
      <c r="W272" s="451"/>
      <c r="X272" s="452"/>
      <c r="Y272" s="453"/>
      <c r="Z272" s="454"/>
    </row>
    <row r="273" spans="1:26" ht="31.5" customHeight="1" x14ac:dyDescent="0.3">
      <c r="A273" s="400"/>
      <c r="B273" s="322"/>
      <c r="C273" s="582" t="s">
        <v>479</v>
      </c>
      <c r="D273" s="487"/>
      <c r="E273" s="457"/>
      <c r="F273" s="457"/>
      <c r="G273" s="457"/>
      <c r="H273" s="457"/>
      <c r="I273" s="457"/>
      <c r="J273" s="457"/>
      <c r="K273" s="457"/>
      <c r="L273" s="457"/>
      <c r="M273" s="457"/>
      <c r="N273" s="457"/>
      <c r="O273" s="457"/>
      <c r="P273" s="457"/>
      <c r="Q273" s="457"/>
      <c r="R273" s="457"/>
      <c r="S273" s="457">
        <v>6400000</v>
      </c>
      <c r="T273" s="457">
        <f t="shared" si="19"/>
        <v>0</v>
      </c>
      <c r="U273" s="458">
        <f t="shared" si="18"/>
        <v>-6400000</v>
      </c>
      <c r="V273" s="459">
        <v>9</v>
      </c>
      <c r="W273" s="451"/>
      <c r="X273" s="452"/>
      <c r="Y273" s="453"/>
      <c r="Z273" s="454"/>
    </row>
    <row r="274" spans="1:26" ht="31.5" customHeight="1" x14ac:dyDescent="0.3">
      <c r="A274" s="400"/>
      <c r="B274" s="322"/>
      <c r="C274" s="582" t="s">
        <v>482</v>
      </c>
      <c r="D274" s="487"/>
      <c r="E274" s="457"/>
      <c r="F274" s="457"/>
      <c r="G274" s="457"/>
      <c r="H274" s="457"/>
      <c r="I274" s="457"/>
      <c r="J274" s="457"/>
      <c r="K274" s="457"/>
      <c r="L274" s="457"/>
      <c r="M274" s="457"/>
      <c r="N274" s="457"/>
      <c r="O274" s="457"/>
      <c r="P274" s="457"/>
      <c r="Q274" s="457"/>
      <c r="R274" s="457"/>
      <c r="S274" s="457">
        <v>14125000</v>
      </c>
      <c r="T274" s="457">
        <f t="shared" si="19"/>
        <v>0</v>
      </c>
      <c r="U274" s="458">
        <f t="shared" si="18"/>
        <v>-14125000</v>
      </c>
      <c r="V274" s="459">
        <v>10</v>
      </c>
      <c r="W274" s="451"/>
      <c r="X274" s="452"/>
      <c r="Y274" s="453"/>
      <c r="Z274" s="454"/>
    </row>
    <row r="275" spans="1:26" ht="31.5" customHeight="1" x14ac:dyDescent="0.3">
      <c r="A275" s="400"/>
      <c r="B275" s="348"/>
      <c r="C275" s="582" t="s">
        <v>496</v>
      </c>
      <c r="D275" s="487"/>
      <c r="E275" s="457"/>
      <c r="F275" s="457"/>
      <c r="G275" s="457"/>
      <c r="H275" s="457"/>
      <c r="I275" s="457"/>
      <c r="J275" s="457"/>
      <c r="K275" s="457"/>
      <c r="L275" s="457"/>
      <c r="M275" s="457"/>
      <c r="N275" s="457"/>
      <c r="O275" s="457"/>
      <c r="P275" s="457"/>
      <c r="Q275" s="457"/>
      <c r="R275" s="457"/>
      <c r="S275" s="457">
        <v>44716000</v>
      </c>
      <c r="T275" s="457">
        <f t="shared" si="19"/>
        <v>11800000</v>
      </c>
      <c r="U275" s="458">
        <f t="shared" si="18"/>
        <v>-32916000</v>
      </c>
      <c r="V275" s="459">
        <v>11</v>
      </c>
      <c r="W275" s="468"/>
      <c r="X275" s="222" t="s">
        <v>561</v>
      </c>
      <c r="Y275" s="326" t="s">
        <v>615</v>
      </c>
      <c r="Z275" s="471">
        <f>800000*6+7000000</f>
        <v>11800000</v>
      </c>
    </row>
    <row r="276" spans="1:26" ht="23.25" customHeight="1" x14ac:dyDescent="0.3">
      <c r="A276" s="590" t="s">
        <v>6</v>
      </c>
      <c r="B276" s="453"/>
      <c r="C276" s="591"/>
      <c r="D276" s="592">
        <f t="shared" ref="D276:T277" si="20">D277</f>
        <v>74000</v>
      </c>
      <c r="E276" s="593">
        <f t="shared" si="20"/>
        <v>0</v>
      </c>
      <c r="F276" s="593">
        <f t="shared" si="20"/>
        <v>45000</v>
      </c>
      <c r="G276" s="593">
        <f t="shared" si="20"/>
        <v>74000</v>
      </c>
      <c r="H276" s="593">
        <f t="shared" si="20"/>
        <v>120000</v>
      </c>
      <c r="I276" s="593">
        <f t="shared" si="20"/>
        <v>200000</v>
      </c>
      <c r="J276" s="593">
        <f t="shared" si="20"/>
        <v>200000</v>
      </c>
      <c r="K276" s="593">
        <f t="shared" si="20"/>
        <v>98000</v>
      </c>
      <c r="L276" s="593">
        <f t="shared" si="20"/>
        <v>98000</v>
      </c>
      <c r="M276" s="593">
        <f t="shared" si="20"/>
        <v>40000</v>
      </c>
      <c r="N276" s="593">
        <f t="shared" si="20"/>
        <v>131000</v>
      </c>
      <c r="O276" s="593">
        <f t="shared" si="20"/>
        <v>205000</v>
      </c>
      <c r="P276" s="593">
        <f t="shared" si="20"/>
        <v>205000</v>
      </c>
      <c r="Q276" s="593">
        <f t="shared" si="20"/>
        <v>200000</v>
      </c>
      <c r="R276" s="593">
        <f t="shared" si="20"/>
        <v>203000</v>
      </c>
      <c r="S276" s="593">
        <f t="shared" si="20"/>
        <v>4097000</v>
      </c>
      <c r="T276" s="593">
        <f t="shared" si="20"/>
        <v>0</v>
      </c>
      <c r="U276" s="594">
        <f>T276-S276</f>
        <v>-4097000</v>
      </c>
      <c r="V276" s="595">
        <f>U276/S276</f>
        <v>-1</v>
      </c>
      <c r="W276" s="451"/>
      <c r="X276" s="452"/>
      <c r="Y276" s="596"/>
      <c r="Z276" s="454"/>
    </row>
    <row r="277" spans="1:26" ht="23.25" customHeight="1" x14ac:dyDescent="0.3">
      <c r="A277" s="400"/>
      <c r="B277" s="597" t="s">
        <v>6</v>
      </c>
      <c r="C277" s="598"/>
      <c r="D277" s="497">
        <f t="shared" si="20"/>
        <v>74000</v>
      </c>
      <c r="E277" s="498">
        <f t="shared" si="20"/>
        <v>0</v>
      </c>
      <c r="F277" s="498">
        <f t="shared" si="20"/>
        <v>45000</v>
      </c>
      <c r="G277" s="498">
        <f t="shared" si="20"/>
        <v>74000</v>
      </c>
      <c r="H277" s="498">
        <f t="shared" si="20"/>
        <v>120000</v>
      </c>
      <c r="I277" s="498">
        <f t="shared" si="20"/>
        <v>200000</v>
      </c>
      <c r="J277" s="498">
        <f t="shared" si="20"/>
        <v>200000</v>
      </c>
      <c r="K277" s="498">
        <f t="shared" si="20"/>
        <v>98000</v>
      </c>
      <c r="L277" s="498">
        <f t="shared" si="20"/>
        <v>98000</v>
      </c>
      <c r="M277" s="498">
        <f t="shared" si="20"/>
        <v>40000</v>
      </c>
      <c r="N277" s="498">
        <f t="shared" si="20"/>
        <v>131000</v>
      </c>
      <c r="O277" s="498">
        <f t="shared" si="20"/>
        <v>205000</v>
      </c>
      <c r="P277" s="498">
        <f t="shared" si="20"/>
        <v>205000</v>
      </c>
      <c r="Q277" s="498">
        <f t="shared" si="20"/>
        <v>200000</v>
      </c>
      <c r="R277" s="498">
        <f t="shared" si="20"/>
        <v>203000</v>
      </c>
      <c r="S277" s="498">
        <f t="shared" si="20"/>
        <v>4097000</v>
      </c>
      <c r="T277" s="498">
        <f t="shared" si="20"/>
        <v>0</v>
      </c>
      <c r="U277" s="458">
        <f t="shared" ref="U277:U280" si="21">T277-S277</f>
        <v>-4097000</v>
      </c>
      <c r="V277" s="595">
        <f t="shared" ref="V277:V280" si="22">U277/S277</f>
        <v>-1</v>
      </c>
      <c r="W277" s="451"/>
      <c r="X277" s="452"/>
      <c r="Y277" s="596"/>
      <c r="Z277" s="454"/>
    </row>
    <row r="278" spans="1:26" ht="23.25" customHeight="1" x14ac:dyDescent="0.3">
      <c r="A278" s="400"/>
      <c r="B278" s="321"/>
      <c r="C278" s="508" t="s">
        <v>6</v>
      </c>
      <c r="D278" s="464">
        <v>74000</v>
      </c>
      <c r="E278" s="465">
        <v>0</v>
      </c>
      <c r="F278" s="465">
        <v>45000</v>
      </c>
      <c r="G278" s="465">
        <v>74000</v>
      </c>
      <c r="H278" s="465">
        <v>120000</v>
      </c>
      <c r="I278" s="465">
        <v>200000</v>
      </c>
      <c r="J278" s="465">
        <v>200000</v>
      </c>
      <c r="K278" s="465">
        <v>98000</v>
      </c>
      <c r="L278" s="465">
        <v>98000</v>
      </c>
      <c r="M278" s="465">
        <v>40000</v>
      </c>
      <c r="N278" s="465">
        <v>131000</v>
      </c>
      <c r="O278" s="465">
        <v>205000</v>
      </c>
      <c r="P278" s="465">
        <v>205000</v>
      </c>
      <c r="Q278" s="465">
        <v>200000</v>
      </c>
      <c r="R278" s="465">
        <v>203000</v>
      </c>
      <c r="S278" s="465">
        <v>4097000</v>
      </c>
      <c r="T278" s="465">
        <f>SUM(Z278)</f>
        <v>0</v>
      </c>
      <c r="U278" s="458">
        <f t="shared" si="21"/>
        <v>-4097000</v>
      </c>
      <c r="V278" s="595">
        <f t="shared" si="22"/>
        <v>-1</v>
      </c>
      <c r="W278" s="468"/>
      <c r="X278" s="469"/>
      <c r="Y278" s="599"/>
      <c r="Z278" s="471"/>
    </row>
    <row r="279" spans="1:26" s="32" customFormat="1" ht="23.25" customHeight="1" x14ac:dyDescent="0.3">
      <c r="A279" s="545" t="s">
        <v>318</v>
      </c>
      <c r="B279" s="546"/>
      <c r="C279" s="547"/>
      <c r="D279" s="600">
        <f t="shared" ref="D279:T280" si="23">D280</f>
        <v>895000</v>
      </c>
      <c r="E279" s="601">
        <f t="shared" si="23"/>
        <v>988000</v>
      </c>
      <c r="F279" s="601">
        <f t="shared" si="23"/>
        <v>2290000</v>
      </c>
      <c r="G279" s="601">
        <f t="shared" si="23"/>
        <v>895000</v>
      </c>
      <c r="H279" s="601">
        <f t="shared" si="23"/>
        <v>1341000</v>
      </c>
      <c r="I279" s="601">
        <f t="shared" si="23"/>
        <v>653000</v>
      </c>
      <c r="J279" s="601">
        <f t="shared" si="23"/>
        <v>1005000</v>
      </c>
      <c r="K279" s="601">
        <f t="shared" si="23"/>
        <v>1487000</v>
      </c>
      <c r="L279" s="601">
        <f t="shared" si="23"/>
        <v>1342000</v>
      </c>
      <c r="M279" s="601">
        <f t="shared" si="23"/>
        <v>5971000</v>
      </c>
      <c r="N279" s="601">
        <f t="shared" si="23"/>
        <v>8665000</v>
      </c>
      <c r="O279" s="601">
        <f t="shared" si="23"/>
        <v>20502000</v>
      </c>
      <c r="P279" s="601">
        <f t="shared" si="23"/>
        <v>3775000</v>
      </c>
      <c r="Q279" s="601">
        <f t="shared" si="23"/>
        <v>8427000</v>
      </c>
      <c r="R279" s="601">
        <f t="shared" si="23"/>
        <v>8670000</v>
      </c>
      <c r="S279" s="601">
        <f t="shared" si="23"/>
        <v>40458000</v>
      </c>
      <c r="T279" s="601">
        <f t="shared" si="23"/>
        <v>8251000</v>
      </c>
      <c r="U279" s="594">
        <f t="shared" si="21"/>
        <v>-32207000</v>
      </c>
      <c r="V279" s="595">
        <f t="shared" si="22"/>
        <v>-0.79606011172079683</v>
      </c>
      <c r="W279" s="442"/>
      <c r="X279" s="443"/>
      <c r="Y279" s="444"/>
      <c r="Z279" s="602"/>
    </row>
    <row r="280" spans="1:26" ht="23.25" customHeight="1" x14ac:dyDescent="0.3">
      <c r="A280" s="400"/>
      <c r="B280" s="603" t="s">
        <v>318</v>
      </c>
      <c r="C280" s="604"/>
      <c r="D280" s="487">
        <f t="shared" si="23"/>
        <v>895000</v>
      </c>
      <c r="E280" s="457">
        <f t="shared" si="23"/>
        <v>988000</v>
      </c>
      <c r="F280" s="457">
        <f t="shared" si="23"/>
        <v>2290000</v>
      </c>
      <c r="G280" s="457">
        <f t="shared" si="23"/>
        <v>895000</v>
      </c>
      <c r="H280" s="457">
        <f t="shared" si="23"/>
        <v>1341000</v>
      </c>
      <c r="I280" s="457">
        <f>SUM(I281:I283)</f>
        <v>653000</v>
      </c>
      <c r="J280" s="457">
        <f>SUM(J281:J283)</f>
        <v>1005000</v>
      </c>
      <c r="K280" s="457">
        <f>SUM(K281:K283)</f>
        <v>1487000</v>
      </c>
      <c r="L280" s="457">
        <f>L281</f>
        <v>1342000</v>
      </c>
      <c r="M280" s="457">
        <f>SUM(M281:M283)</f>
        <v>5971000</v>
      </c>
      <c r="N280" s="457">
        <f>SUM(N281:N283)</f>
        <v>8665000</v>
      </c>
      <c r="O280" s="457">
        <f>SUM(O281:O283)</f>
        <v>20502000</v>
      </c>
      <c r="P280" s="457">
        <f>SUM(P281:P283)</f>
        <v>3775000</v>
      </c>
      <c r="Q280" s="457">
        <v>8427000</v>
      </c>
      <c r="R280" s="457">
        <f>SUM(R281:R283)</f>
        <v>8670000</v>
      </c>
      <c r="S280" s="457">
        <f>SUM(S281:S283)</f>
        <v>40458000</v>
      </c>
      <c r="T280" s="457">
        <f>SUM(T281:T283)</f>
        <v>8251000</v>
      </c>
      <c r="U280" s="458">
        <f t="shared" si="21"/>
        <v>-32207000</v>
      </c>
      <c r="V280" s="595">
        <f t="shared" si="22"/>
        <v>-0.79606011172079683</v>
      </c>
      <c r="W280" s="460"/>
      <c r="X280" s="452"/>
      <c r="Y280" s="470"/>
      <c r="Z280" s="470"/>
    </row>
    <row r="281" spans="1:26" ht="23.25" customHeight="1" x14ac:dyDescent="0.3">
      <c r="A281" s="605"/>
      <c r="B281" s="323"/>
      <c r="C281" s="323" t="s">
        <v>67</v>
      </c>
      <c r="D281" s="487">
        <v>895000</v>
      </c>
      <c r="E281" s="457">
        <v>988000</v>
      </c>
      <c r="F281" s="457">
        <v>2290000</v>
      </c>
      <c r="G281" s="457">
        <v>895000</v>
      </c>
      <c r="H281" s="457">
        <v>1341000</v>
      </c>
      <c r="I281" s="457">
        <v>487000</v>
      </c>
      <c r="J281" s="457">
        <v>1005000</v>
      </c>
      <c r="K281" s="457">
        <v>1487000</v>
      </c>
      <c r="L281" s="457">
        <v>1342000</v>
      </c>
      <c r="M281" s="457">
        <v>5971000</v>
      </c>
      <c r="N281" s="457">
        <v>8509000</v>
      </c>
      <c r="O281" s="457">
        <v>20346000</v>
      </c>
      <c r="P281" s="457">
        <v>3619000</v>
      </c>
      <c r="Q281" s="457">
        <v>8427000</v>
      </c>
      <c r="R281" s="457">
        <v>8427000</v>
      </c>
      <c r="S281" s="457">
        <v>5567000</v>
      </c>
      <c r="T281" s="457">
        <f>Z281</f>
        <v>8251000</v>
      </c>
      <c r="U281" s="458">
        <f>T281-S281</f>
        <v>2684000</v>
      </c>
      <c r="V281" s="459">
        <f>U281/S281</f>
        <v>0.48212681875336805</v>
      </c>
      <c r="W281" s="451"/>
      <c r="X281" s="452" t="s">
        <v>566</v>
      </c>
      <c r="Y281" s="596" t="s">
        <v>621</v>
      </c>
      <c r="Z281" s="454">
        <f>8251000*1</f>
        <v>8251000</v>
      </c>
    </row>
    <row r="282" spans="1:26" ht="23.25" customHeight="1" x14ac:dyDescent="0.3">
      <c r="A282" s="412"/>
      <c r="B282" s="348"/>
      <c r="C282" s="348"/>
      <c r="D282" s="479"/>
      <c r="E282" s="480"/>
      <c r="F282" s="480"/>
      <c r="G282" s="480"/>
      <c r="H282" s="480"/>
      <c r="I282" s="480"/>
      <c r="J282" s="480"/>
      <c r="K282" s="480"/>
      <c r="L282" s="480"/>
      <c r="M282" s="480"/>
      <c r="N282" s="480"/>
      <c r="O282" s="480"/>
      <c r="P282" s="480"/>
      <c r="Q282" s="480"/>
      <c r="R282" s="480"/>
      <c r="S282" s="480"/>
      <c r="T282" s="480"/>
      <c r="U282" s="481"/>
      <c r="V282" s="482"/>
      <c r="W282" s="493"/>
      <c r="X282" s="343"/>
      <c r="Y282" s="343"/>
      <c r="Z282" s="606"/>
    </row>
    <row r="283" spans="1:26" ht="24" customHeight="1" thickBot="1" x14ac:dyDescent="0.35">
      <c r="A283" s="607"/>
      <c r="B283" s="608"/>
      <c r="C283" s="608" t="s">
        <v>68</v>
      </c>
      <c r="D283" s="609"/>
      <c r="E283" s="610"/>
      <c r="F283" s="610"/>
      <c r="G283" s="611"/>
      <c r="H283" s="611"/>
      <c r="I283" s="611">
        <v>166000</v>
      </c>
      <c r="J283" s="611"/>
      <c r="K283" s="611"/>
      <c r="L283" s="611">
        <v>0</v>
      </c>
      <c r="M283" s="611">
        <v>0</v>
      </c>
      <c r="N283" s="611">
        <v>156000</v>
      </c>
      <c r="O283" s="611">
        <v>156000</v>
      </c>
      <c r="P283" s="611">
        <v>156000</v>
      </c>
      <c r="Q283" s="611">
        <v>0</v>
      </c>
      <c r="R283" s="611">
        <v>243000</v>
      </c>
      <c r="S283" s="611">
        <v>34891000</v>
      </c>
      <c r="T283" s="611">
        <f>Z283</f>
        <v>0</v>
      </c>
      <c r="U283" s="612">
        <f>T283-S283</f>
        <v>-34891000</v>
      </c>
      <c r="V283" s="613">
        <f>U283/S283</f>
        <v>-1</v>
      </c>
      <c r="W283" s="614"/>
      <c r="X283" s="615"/>
      <c r="Y283" s="616"/>
      <c r="Z283" s="617"/>
    </row>
    <row r="284" spans="1:26" x14ac:dyDescent="0.3">
      <c r="A284" s="618"/>
      <c r="B284" s="618"/>
      <c r="C284" s="618"/>
      <c r="D284" s="618"/>
      <c r="E284" s="619"/>
      <c r="F284" s="619"/>
      <c r="G284" s="619"/>
      <c r="H284" s="619"/>
      <c r="I284" s="619"/>
      <c r="J284" s="619"/>
      <c r="K284" s="619"/>
      <c r="L284" s="619"/>
      <c r="M284" s="619"/>
      <c r="N284" s="619"/>
      <c r="O284" s="619"/>
      <c r="P284" s="619"/>
      <c r="Q284" s="619"/>
      <c r="R284" s="619"/>
      <c r="S284" s="619"/>
      <c r="T284" s="619"/>
      <c r="U284" s="619"/>
      <c r="V284" s="619"/>
      <c r="W284" s="620"/>
      <c r="X284" s="621"/>
      <c r="Y284" s="618"/>
      <c r="Z284" s="622"/>
    </row>
  </sheetData>
  <mergeCells count="47">
    <mergeCell ref="B280:C280"/>
    <mergeCell ref="C237:C239"/>
    <mergeCell ref="C242:C245"/>
    <mergeCell ref="C251:C253"/>
    <mergeCell ref="B277:C277"/>
    <mergeCell ref="A279:C279"/>
    <mergeCell ref="C246:C247"/>
    <mergeCell ref="I172:I173"/>
    <mergeCell ref="J172:J173"/>
    <mergeCell ref="K172:K173"/>
    <mergeCell ref="N172:N173"/>
    <mergeCell ref="L172:L173"/>
    <mergeCell ref="M172:M173"/>
    <mergeCell ref="C129:C133"/>
    <mergeCell ref="C136:C138"/>
    <mergeCell ref="C191:C195"/>
    <mergeCell ref="C172:C173"/>
    <mergeCell ref="C174:C175"/>
    <mergeCell ref="C185:C186"/>
    <mergeCell ref="C187:C188"/>
    <mergeCell ref="C167:C170"/>
    <mergeCell ref="W113:X113"/>
    <mergeCell ref="W114:X114"/>
    <mergeCell ref="C121:C123"/>
    <mergeCell ref="A127:C127"/>
    <mergeCell ref="B128:C128"/>
    <mergeCell ref="C36:C37"/>
    <mergeCell ref="A1:Z1"/>
    <mergeCell ref="A5:C5"/>
    <mergeCell ref="A6:C6"/>
    <mergeCell ref="B7:C7"/>
    <mergeCell ref="A115:C115"/>
    <mergeCell ref="B116:C116"/>
    <mergeCell ref="C41:C42"/>
    <mergeCell ref="B59:C59"/>
    <mergeCell ref="W60:X60"/>
    <mergeCell ref="C61:C63"/>
    <mergeCell ref="W74:X74"/>
    <mergeCell ref="W75:X75"/>
    <mergeCell ref="W86:X86"/>
    <mergeCell ref="U3:V3"/>
    <mergeCell ref="W3:Z4"/>
    <mergeCell ref="A3:A4"/>
    <mergeCell ref="B3:B4"/>
    <mergeCell ref="C3:C4"/>
    <mergeCell ref="S3:S4"/>
    <mergeCell ref="T3:T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세입세출총괄표</vt:lpstr>
      <vt:lpstr>세입명세서</vt:lpstr>
      <vt:lpstr>세출명세서</vt:lpstr>
      <vt:lpstr>세입명세서!Print_Area</vt:lpstr>
      <vt:lpstr>세입명세서!Print_Titles</vt:lpstr>
      <vt:lpstr>세입세출총괄표!Print_Titles</vt:lpstr>
      <vt:lpstr>세출명세서!Print_Titles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2021-12-12T23:52:16Z</cp:lastPrinted>
  <dcterms:created xsi:type="dcterms:W3CDTF">2021-03-10T02:14:16Z</dcterms:created>
  <dcterms:modified xsi:type="dcterms:W3CDTF">2022-01-04T02:48:37Z</dcterms:modified>
</cp:coreProperties>
</file>